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N:\2_MANUAL QUOTES\Johns Hopkins Bloomberg School of Public Health\Quote #14402\Quote #14402\Excel - Proof\"/>
    </mc:Choice>
  </mc:AlternateContent>
  <xr:revisionPtr revIDLastSave="0" documentId="13_ncr:1_{AB0D09D7-4025-4BE6-9E4A-3F1E65C94BD8}" xr6:coauthVersionLast="47" xr6:coauthVersionMax="47" xr10:uidLastSave="{00000000-0000-0000-0000-000000000000}"/>
  <bookViews>
    <workbookView xWindow="28680" yWindow="-120" windowWidth="29040" windowHeight="15840" tabRatio="500" activeTab="3" xr2:uid="{00000000-000D-0000-FFFF-FFFF00000000}"/>
  </bookViews>
  <sheets>
    <sheet name="Welcome" sheetId="13" r:id="rId1"/>
    <sheet name="Entering the Data" sheetId="15" r:id="rId2"/>
    <sheet name="Charts and Tables" sheetId="9" r:id="rId3"/>
    <sheet name="Calculations" sheetId="11" r:id="rId4"/>
    <sheet name="Country Data" sheetId="14"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9" l="1"/>
  <c r="B28" i="11" s="1"/>
  <c r="C28" i="11" s="1"/>
  <c r="B17" i="9"/>
  <c r="C14" i="9" s="1"/>
  <c r="B7" i="9"/>
  <c r="B36" i="11" s="1"/>
  <c r="B22" i="9"/>
  <c r="B27" i="9"/>
  <c r="B11" i="9"/>
  <c r="B27" i="11" s="1"/>
  <c r="C27" i="11" s="1"/>
  <c r="B16" i="9"/>
  <c r="C13" i="9" s="1"/>
  <c r="B21" i="9"/>
  <c r="B26" i="9"/>
  <c r="B13" i="9"/>
  <c r="B29" i="11" s="1"/>
  <c r="C29" i="11" s="1"/>
  <c r="B18" i="9"/>
  <c r="C15" i="9" s="1"/>
  <c r="B23" i="9"/>
  <c r="B28" i="9"/>
  <c r="B14" i="9"/>
  <c r="B30" i="11" s="1"/>
  <c r="C30" i="11" s="1"/>
  <c r="B19" i="9"/>
  <c r="C16" i="9" s="1"/>
  <c r="B24" i="9"/>
  <c r="B29" i="9"/>
  <c r="B8" i="9"/>
  <c r="H36" i="11" s="1"/>
  <c r="B6" i="9"/>
  <c r="B5" i="9"/>
  <c r="B35" i="9"/>
  <c r="B31" i="9"/>
  <c r="D27" i="11" s="1"/>
  <c r="B36" i="9"/>
  <c r="C33" i="9" s="1"/>
  <c r="B37" i="9"/>
  <c r="B32" i="9"/>
  <c r="D28" i="11" s="1"/>
  <c r="B33" i="9"/>
  <c r="D29" i="11" s="1"/>
  <c r="B34" i="9"/>
  <c r="D30" i="11" s="1"/>
  <c r="B9" i="9"/>
  <c r="G36" i="11" s="1"/>
  <c r="A19" i="9"/>
  <c r="A17" i="9"/>
  <c r="A29" i="9"/>
  <c r="A28" i="9"/>
  <c r="A27" i="9"/>
  <c r="A18" i="9"/>
  <c r="A23" i="9"/>
  <c r="A24" i="9"/>
  <c r="T5" i="14"/>
  <c r="T6" i="14"/>
  <c r="T7" i="14"/>
  <c r="T8" i="14"/>
  <c r="T9" i="14"/>
  <c r="T10" i="14"/>
  <c r="T11" i="14"/>
  <c r="T1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4" i="14"/>
  <c r="R5" i="14"/>
  <c r="R6"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4" i="14"/>
  <c r="O50" i="14"/>
  <c r="N50" i="14"/>
  <c r="G50" i="14"/>
  <c r="O49" i="14"/>
  <c r="N49" i="14"/>
  <c r="G49" i="14"/>
  <c r="O48" i="14"/>
  <c r="N48" i="14"/>
  <c r="G48" i="14"/>
  <c r="O47" i="14"/>
  <c r="N47" i="14"/>
  <c r="G47" i="14"/>
  <c r="O46" i="14"/>
  <c r="N46" i="14"/>
  <c r="G46" i="14"/>
  <c r="O45" i="14"/>
  <c r="N45" i="14"/>
  <c r="G45" i="14"/>
  <c r="O44" i="14"/>
  <c r="N44" i="14"/>
  <c r="G44" i="14"/>
  <c r="O43" i="14"/>
  <c r="N43" i="14"/>
  <c r="G43" i="14"/>
  <c r="O42" i="14"/>
  <c r="N42" i="14"/>
  <c r="G42" i="14"/>
  <c r="O41" i="14"/>
  <c r="N41" i="14"/>
  <c r="G41" i="14"/>
  <c r="O40" i="14"/>
  <c r="N40" i="14"/>
  <c r="G40" i="14"/>
  <c r="O39" i="14"/>
  <c r="N39" i="14"/>
  <c r="G39" i="14"/>
  <c r="O38" i="14"/>
  <c r="N38" i="14"/>
  <c r="G38" i="14"/>
  <c r="O37" i="14"/>
  <c r="N37" i="14"/>
  <c r="G37" i="14"/>
  <c r="O36" i="14"/>
  <c r="N36" i="14"/>
  <c r="G36" i="14"/>
  <c r="O35" i="14"/>
  <c r="N35" i="14"/>
  <c r="G35" i="14"/>
  <c r="O34" i="14"/>
  <c r="N34" i="14"/>
  <c r="G34" i="14"/>
  <c r="O33" i="14"/>
  <c r="N33" i="14"/>
  <c r="G33" i="14"/>
  <c r="O32" i="14"/>
  <c r="N32" i="14"/>
  <c r="G32" i="14"/>
  <c r="O31" i="14"/>
  <c r="N31" i="14"/>
  <c r="G31" i="14"/>
  <c r="O30" i="14"/>
  <c r="N30" i="14"/>
  <c r="G30" i="14"/>
  <c r="O29" i="14"/>
  <c r="N29" i="14"/>
  <c r="G29" i="14"/>
  <c r="O28" i="14"/>
  <c r="N28" i="14"/>
  <c r="G28" i="14"/>
  <c r="O27" i="14"/>
  <c r="N27" i="14"/>
  <c r="G27" i="14"/>
  <c r="O26" i="14"/>
  <c r="N26" i="14"/>
  <c r="G26" i="14"/>
  <c r="O25" i="14"/>
  <c r="N25" i="14"/>
  <c r="G25" i="14"/>
  <c r="O24" i="14"/>
  <c r="N24" i="14"/>
  <c r="G24" i="14"/>
  <c r="O23" i="14"/>
  <c r="N23" i="14"/>
  <c r="G23" i="14"/>
  <c r="O22" i="14"/>
  <c r="N22" i="14"/>
  <c r="G22" i="14"/>
  <c r="O21" i="14"/>
  <c r="N21" i="14"/>
  <c r="G21" i="14"/>
  <c r="O20" i="14"/>
  <c r="N20" i="14"/>
  <c r="G20" i="14"/>
  <c r="O19" i="14"/>
  <c r="N19" i="14"/>
  <c r="G19" i="14"/>
  <c r="O18" i="14"/>
  <c r="N18" i="14"/>
  <c r="G18" i="14"/>
  <c r="O17" i="14"/>
  <c r="N17" i="14"/>
  <c r="G17" i="14"/>
  <c r="O16" i="14"/>
  <c r="N16" i="14"/>
  <c r="G16" i="14"/>
  <c r="O15" i="14"/>
  <c r="N15" i="14"/>
  <c r="G15" i="14"/>
  <c r="O14" i="14"/>
  <c r="N14" i="14"/>
  <c r="G14" i="14"/>
  <c r="O13" i="14"/>
  <c r="N13" i="14"/>
  <c r="G13" i="14"/>
  <c r="O12" i="14"/>
  <c r="N12" i="14"/>
  <c r="G12" i="14"/>
  <c r="O11" i="14"/>
  <c r="N11" i="14"/>
  <c r="G11" i="14"/>
  <c r="O10" i="14"/>
  <c r="N10" i="14"/>
  <c r="G10" i="14"/>
  <c r="O9" i="14"/>
  <c r="N9" i="14"/>
  <c r="G9" i="14"/>
  <c r="O8" i="14"/>
  <c r="N8" i="14"/>
  <c r="G8" i="14"/>
  <c r="O7" i="14"/>
  <c r="N7" i="14"/>
  <c r="G7" i="14"/>
  <c r="O6" i="14"/>
  <c r="N6" i="14"/>
  <c r="G6" i="14"/>
  <c r="O5" i="14"/>
  <c r="N5" i="14"/>
  <c r="G5" i="14"/>
  <c r="O4" i="14"/>
  <c r="N4" i="14"/>
  <c r="G4" i="14"/>
  <c r="A16" i="9"/>
  <c r="G53" i="11"/>
  <c r="G52" i="11"/>
  <c r="G51" i="11"/>
  <c r="A32" i="9"/>
  <c r="A33" i="9"/>
  <c r="A34" i="9"/>
  <c r="A31" i="9"/>
  <c r="A26" i="9"/>
  <c r="A22" i="9"/>
  <c r="A21" i="9"/>
  <c r="G50" i="11"/>
  <c r="A61" i="11"/>
  <c r="C73" i="11"/>
  <c r="C75" i="11"/>
  <c r="C77" i="11"/>
  <c r="C17" i="9"/>
  <c r="A62" i="11"/>
  <c r="A63" i="11"/>
  <c r="B77" i="11"/>
  <c r="B75" i="11"/>
  <c r="B73" i="11"/>
  <c r="B71" i="11"/>
  <c r="A77" i="11"/>
  <c r="A75" i="11"/>
  <c r="A73" i="11"/>
  <c r="A71" i="11"/>
  <c r="A69" i="11"/>
  <c r="B49" i="11" l="1"/>
  <c r="B53" i="11" s="1"/>
  <c r="B54" i="11" s="1"/>
  <c r="F36" i="11"/>
  <c r="B31" i="11"/>
  <c r="D31" i="11"/>
  <c r="D32" i="11" s="1"/>
  <c r="C36" i="11"/>
  <c r="F3" i="9"/>
  <c r="A51" i="11"/>
  <c r="E29" i="11"/>
  <c r="I54" i="11"/>
  <c r="I55" i="11" s="1"/>
  <c r="E30" i="11"/>
  <c r="E28" i="11"/>
  <c r="C31" i="11"/>
  <c r="E27" i="11"/>
  <c r="B55" i="11" l="1"/>
  <c r="B56" i="11" s="1"/>
  <c r="C49" i="11"/>
  <c r="C51" i="11" s="1"/>
  <c r="C52" i="11" s="1"/>
  <c r="B51" i="11"/>
  <c r="B52" i="11" s="1"/>
  <c r="I53" i="11" s="1"/>
  <c r="I50" i="11"/>
  <c r="I49" i="11" s="1"/>
  <c r="B50" i="11"/>
  <c r="I51" i="11" s="1"/>
  <c r="D49" i="11"/>
  <c r="H50" i="11" s="1"/>
  <c r="H49" i="11" s="1"/>
  <c r="A53" i="11"/>
  <c r="A50" i="11"/>
  <c r="G30" i="11"/>
  <c r="I30" i="11" s="1"/>
  <c r="G28" i="11"/>
  <c r="I28" i="11" s="1"/>
  <c r="E31" i="11"/>
  <c r="E32" i="11" s="1"/>
  <c r="G27" i="11"/>
  <c r="G29" i="11"/>
  <c r="I29" i="11" s="1"/>
  <c r="D36" i="11"/>
  <c r="D51" i="11"/>
  <c r="C50" i="11" l="1"/>
  <c r="C53" i="11"/>
  <c r="C55" i="11" s="1"/>
  <c r="C56" i="11" s="1"/>
  <c r="I52" i="11"/>
  <c r="D50" i="11"/>
  <c r="H51" i="11" s="1"/>
  <c r="F30" i="11"/>
  <c r="H30" i="11" s="1"/>
  <c r="K30" i="11" s="1"/>
  <c r="E74" i="11"/>
  <c r="E73" i="11" s="1"/>
  <c r="F28" i="11"/>
  <c r="H28" i="11" s="1"/>
  <c r="J28" i="11" s="1"/>
  <c r="E72" i="11"/>
  <c r="E71" i="11" s="1"/>
  <c r="E78" i="11"/>
  <c r="E77" i="11" s="1"/>
  <c r="E79" i="11"/>
  <c r="E70" i="11"/>
  <c r="E69" i="11" s="1"/>
  <c r="E76" i="11"/>
  <c r="E75" i="11" s="1"/>
  <c r="F29" i="11"/>
  <c r="H29" i="11" s="1"/>
  <c r="J29" i="11" s="1"/>
  <c r="A52" i="11"/>
  <c r="A55" i="11"/>
  <c r="G74" i="11"/>
  <c r="G70" i="11"/>
  <c r="G76" i="11"/>
  <c r="G78" i="11"/>
  <c r="G79" i="11"/>
  <c r="G72" i="11"/>
  <c r="W28" i="11"/>
  <c r="C56" i="15" s="1"/>
  <c r="L28" i="11"/>
  <c r="L29" i="11"/>
  <c r="W29" i="11"/>
  <c r="C57" i="15" s="1"/>
  <c r="I27" i="11"/>
  <c r="G31" i="11"/>
  <c r="G32" i="11" s="1"/>
  <c r="L32" i="11" s="1"/>
  <c r="H52" i="11"/>
  <c r="D52" i="11"/>
  <c r="H53" i="11" s="1"/>
  <c r="D53" i="11"/>
  <c r="F27" i="11"/>
  <c r="W30" i="11"/>
  <c r="C58" i="15" s="1"/>
  <c r="L30" i="11"/>
  <c r="C54" i="11" l="1"/>
  <c r="K28" i="11"/>
  <c r="Q28" i="11" s="1"/>
  <c r="H79" i="11"/>
  <c r="J30" i="11"/>
  <c r="U30" i="11" s="1"/>
  <c r="K29" i="11"/>
  <c r="N29" i="11" s="1"/>
  <c r="A56" i="11"/>
  <c r="A54" i="11"/>
  <c r="M30" i="11"/>
  <c r="Q30" i="11"/>
  <c r="O30" i="11"/>
  <c r="U28" i="11"/>
  <c r="M28" i="11"/>
  <c r="G69" i="11"/>
  <c r="H70" i="11"/>
  <c r="H69" i="11" s="1"/>
  <c r="H76" i="11"/>
  <c r="H75" i="11" s="1"/>
  <c r="G75" i="11"/>
  <c r="H27" i="11"/>
  <c r="F31" i="11"/>
  <c r="H54" i="11"/>
  <c r="H55" i="11" s="1"/>
  <c r="D54" i="11"/>
  <c r="D55" i="11"/>
  <c r="D56" i="11" s="1"/>
  <c r="I31" i="11"/>
  <c r="L27" i="11"/>
  <c r="G73" i="11"/>
  <c r="H74" i="11"/>
  <c r="H73" i="11" s="1"/>
  <c r="P30" i="11"/>
  <c r="N30" i="11"/>
  <c r="U29" i="11"/>
  <c r="G71" i="11"/>
  <c r="H72" i="11"/>
  <c r="H71" i="11" s="1"/>
  <c r="H78" i="11"/>
  <c r="H77" i="11" s="1"/>
  <c r="G77" i="11"/>
  <c r="N28" i="11" l="1"/>
  <c r="P28" i="11"/>
  <c r="O28" i="11"/>
  <c r="P29" i="11"/>
  <c r="Q29" i="11"/>
  <c r="M29" i="11"/>
  <c r="O29" i="11"/>
  <c r="L31" i="11"/>
  <c r="F7" i="9"/>
  <c r="L36" i="11"/>
  <c r="F32" i="11"/>
  <c r="K32" i="11" s="1"/>
  <c r="C61" i="11"/>
  <c r="C62" i="11" s="1"/>
  <c r="C63" i="11" s="1"/>
  <c r="C64" i="11" s="1"/>
  <c r="D61" i="11"/>
  <c r="D62" i="11" s="1"/>
  <c r="D63" i="11" s="1"/>
  <c r="D64" i="11" s="1"/>
  <c r="B60" i="11"/>
  <c r="B61" i="11"/>
  <c r="K27" i="11"/>
  <c r="O27" i="11" s="1"/>
  <c r="H31" i="11"/>
  <c r="J27" i="11"/>
  <c r="R30" i="11"/>
  <c r="R28" i="11" l="1"/>
  <c r="T28" i="11" s="1"/>
  <c r="R29" i="11"/>
  <c r="T29" i="11" s="1"/>
  <c r="O31" i="11"/>
  <c r="Q27" i="11"/>
  <c r="Q31" i="11" s="1"/>
  <c r="G61" i="11"/>
  <c r="F61" i="11"/>
  <c r="B62" i="11"/>
  <c r="E51" i="11"/>
  <c r="E52" i="11" s="1"/>
  <c r="J51" i="11" s="1"/>
  <c r="F9" i="9"/>
  <c r="P27" i="11"/>
  <c r="P31" i="11" s="1"/>
  <c r="N27" i="11"/>
  <c r="N31" i="11" s="1"/>
  <c r="K31" i="11"/>
  <c r="P32" i="11"/>
  <c r="N32" i="11"/>
  <c r="O32" i="11"/>
  <c r="M32" i="11"/>
  <c r="Q32" i="11"/>
  <c r="V30" i="11"/>
  <c r="B58" i="15" s="1"/>
  <c r="T30" i="11"/>
  <c r="S30" i="11"/>
  <c r="E55" i="11"/>
  <c r="E56" i="11" s="1"/>
  <c r="J53" i="11" s="1"/>
  <c r="E61" i="11"/>
  <c r="E62" i="11" s="1"/>
  <c r="E63" i="11" s="1"/>
  <c r="E64" i="11" s="1"/>
  <c r="U27" i="11"/>
  <c r="W27" i="11" s="1"/>
  <c r="C55" i="15" s="1"/>
  <c r="F6" i="9"/>
  <c r="F8" i="9" s="1"/>
  <c r="J31" i="11"/>
  <c r="M27" i="11"/>
  <c r="S28" i="11" l="1"/>
  <c r="V28" i="11"/>
  <c r="B56" i="15" s="1"/>
  <c r="V29" i="11"/>
  <c r="B57" i="15" s="1"/>
  <c r="E53" i="11"/>
  <c r="E54" i="11" s="1"/>
  <c r="J52" i="11" s="1"/>
  <c r="S29" i="11"/>
  <c r="F10" i="9"/>
  <c r="F4" i="9"/>
  <c r="F5" i="9" s="1"/>
  <c r="A36" i="11"/>
  <c r="K36" i="11"/>
  <c r="U31" i="11"/>
  <c r="W31" i="11" s="1"/>
  <c r="C59" i="15" s="1"/>
  <c r="G62" i="11"/>
  <c r="F62" i="11"/>
  <c r="B63" i="11"/>
  <c r="M31" i="11"/>
  <c r="R27" i="11"/>
  <c r="B100" i="11" l="1"/>
  <c r="B105" i="11"/>
  <c r="B110" i="11"/>
  <c r="B104" i="11"/>
  <c r="B109" i="11"/>
  <c r="B103" i="11"/>
  <c r="B108" i="11"/>
  <c r="B102" i="11"/>
  <c r="B107" i="11"/>
  <c r="B101" i="11"/>
  <c r="B106" i="11"/>
  <c r="B111" i="11"/>
  <c r="S27" i="11"/>
  <c r="T27" i="11"/>
  <c r="R31" i="11"/>
  <c r="V27" i="11"/>
  <c r="B55" i="15" s="1"/>
  <c r="E49" i="11"/>
  <c r="E50" i="11" s="1"/>
  <c r="J50" i="11" s="1"/>
  <c r="D107" i="11"/>
  <c r="C105" i="11"/>
  <c r="D106" i="11"/>
  <c r="C110" i="11"/>
  <c r="D102" i="11"/>
  <c r="C103" i="11"/>
  <c r="C100" i="11"/>
  <c r="C104" i="11"/>
  <c r="C111" i="11"/>
  <c r="D105" i="11"/>
  <c r="D109" i="11"/>
  <c r="D103" i="11"/>
  <c r="D100" i="11"/>
  <c r="C107" i="11"/>
  <c r="C106" i="11"/>
  <c r="D111" i="11"/>
  <c r="D104" i="11"/>
  <c r="C109" i="11"/>
  <c r="D101" i="11"/>
  <c r="C101" i="11"/>
  <c r="D108" i="11"/>
  <c r="D110" i="11"/>
  <c r="C108" i="11"/>
  <c r="C102" i="11"/>
  <c r="M36" i="11"/>
  <c r="F14" i="9"/>
  <c r="J36" i="11" s="1"/>
  <c r="F13" i="9"/>
  <c r="E36" i="11"/>
  <c r="F12" i="9"/>
  <c r="G63" i="11"/>
  <c r="F63" i="11"/>
  <c r="B64" i="11"/>
  <c r="F50" i="11" l="1"/>
  <c r="F54" i="11"/>
  <c r="J54" i="11"/>
  <c r="F53" i="11"/>
  <c r="F56" i="11"/>
  <c r="F49" i="11"/>
  <c r="F55" i="11"/>
  <c r="F51" i="11"/>
  <c r="F52" i="11"/>
  <c r="S31" i="11"/>
  <c r="T31" i="11"/>
  <c r="C95" i="11" s="1"/>
  <c r="F11" i="9"/>
  <c r="F20" i="9" s="1"/>
  <c r="R32" i="11"/>
  <c r="F74" i="11"/>
  <c r="F72" i="11"/>
  <c r="F70" i="11"/>
  <c r="F69" i="11" s="1"/>
  <c r="D68" i="11" s="1"/>
  <c r="D69" i="11" s="1"/>
  <c r="F79" i="11"/>
  <c r="F78" i="11"/>
  <c r="F76" i="11"/>
  <c r="V31" i="11"/>
  <c r="B59" i="15" s="1"/>
  <c r="G64" i="11"/>
  <c r="F64" i="11"/>
  <c r="C87" i="11"/>
  <c r="C91" i="11"/>
  <c r="B92" i="11" l="1"/>
  <c r="H90" i="11"/>
  <c r="F89" i="11"/>
  <c r="G93" i="11"/>
  <c r="G94" i="11"/>
  <c r="C85" i="11"/>
  <c r="B93" i="11"/>
  <c r="B89" i="11"/>
  <c r="H89" i="11"/>
  <c r="H86" i="11"/>
  <c r="F93" i="11"/>
  <c r="F90" i="11"/>
  <c r="G88" i="11"/>
  <c r="F87" i="11"/>
  <c r="F95" i="11"/>
  <c r="H91" i="11"/>
  <c r="H88" i="11"/>
  <c r="H85" i="11"/>
  <c r="E93" i="11"/>
  <c r="C89" i="11"/>
  <c r="E92" i="11"/>
  <c r="C86" i="11"/>
  <c r="C92" i="11"/>
  <c r="G86" i="11"/>
  <c r="E86" i="11"/>
  <c r="H95" i="11"/>
  <c r="E88" i="11"/>
  <c r="E85" i="11"/>
  <c r="E89" i="11"/>
  <c r="F84" i="11"/>
  <c r="B84" i="11"/>
  <c r="B85" i="11"/>
  <c r="F85" i="11"/>
  <c r="H84" i="11"/>
  <c r="B95" i="11"/>
  <c r="F91" i="11"/>
  <c r="F92" i="11"/>
  <c r="B90" i="11"/>
  <c r="E94" i="11"/>
  <c r="E91" i="11"/>
  <c r="G90" i="11"/>
  <c r="E95" i="11"/>
  <c r="E84" i="11"/>
  <c r="H92" i="11"/>
  <c r="G87" i="11"/>
  <c r="B94" i="11"/>
  <c r="B88" i="11"/>
  <c r="C93" i="11"/>
  <c r="F88" i="11"/>
  <c r="G95" i="11"/>
  <c r="C90" i="11"/>
  <c r="F94" i="11"/>
  <c r="H93" i="11"/>
  <c r="B87" i="11"/>
  <c r="G85" i="11"/>
  <c r="G92" i="11"/>
  <c r="B86" i="11"/>
  <c r="H94" i="11"/>
  <c r="B91" i="11"/>
  <c r="G89" i="11"/>
  <c r="C94" i="11"/>
  <c r="E87" i="11"/>
  <c r="C84" i="11"/>
  <c r="G84" i="11"/>
  <c r="H87" i="11"/>
  <c r="C88" i="11"/>
  <c r="E90" i="11"/>
  <c r="G91" i="11"/>
  <c r="F86" i="11"/>
  <c r="F19" i="9"/>
  <c r="F25" i="9"/>
  <c r="F23" i="9"/>
  <c r="F22" i="9"/>
  <c r="F26" i="9"/>
  <c r="F75" i="11"/>
  <c r="D74" i="11"/>
  <c r="D75" i="11" s="1"/>
  <c r="F71" i="11"/>
  <c r="D70" i="11"/>
  <c r="D71" i="11" s="1"/>
  <c r="M84" i="11"/>
  <c r="K86" i="11"/>
  <c r="R87" i="11"/>
  <c r="P89" i="11"/>
  <c r="N91" i="11"/>
  <c r="L93" i="11"/>
  <c r="J95" i="11"/>
  <c r="I92" i="11"/>
  <c r="P84" i="11"/>
  <c r="K87" i="11"/>
  <c r="N89" i="11"/>
  <c r="Q91" i="11"/>
  <c r="L94" i="11"/>
  <c r="I90" i="11"/>
  <c r="R84" i="11"/>
  <c r="L87" i="11"/>
  <c r="O89" i="11"/>
  <c r="J92" i="11"/>
  <c r="M94" i="11"/>
  <c r="I91" i="11"/>
  <c r="R86" i="11"/>
  <c r="P91" i="11"/>
  <c r="I89" i="11"/>
  <c r="K85" i="11"/>
  <c r="N93" i="11"/>
  <c r="K95" i="11"/>
  <c r="J85" i="11"/>
  <c r="Q89" i="11"/>
  <c r="N94" i="11"/>
  <c r="R89" i="11"/>
  <c r="Q86" i="11"/>
  <c r="R93" i="11"/>
  <c r="O87" i="11"/>
  <c r="Q95" i="11"/>
  <c r="O85" i="11"/>
  <c r="L86" i="11"/>
  <c r="R90" i="11"/>
  <c r="P95" i="11"/>
  <c r="L92" i="11"/>
  <c r="K89" i="11"/>
  <c r="I87" i="11"/>
  <c r="J87" i="11"/>
  <c r="Q88" i="11"/>
  <c r="M92" i="11"/>
  <c r="R95" i="11"/>
  <c r="R85" i="11"/>
  <c r="L88" i="11"/>
  <c r="P90" i="11"/>
  <c r="M95" i="11"/>
  <c r="J86" i="11"/>
  <c r="Q90" i="11"/>
  <c r="O95" i="11"/>
  <c r="M89" i="11"/>
  <c r="J88" i="11"/>
  <c r="M87" i="11"/>
  <c r="K92" i="11"/>
  <c r="P94" i="11"/>
  <c r="M90" i="11"/>
  <c r="P85" i="11"/>
  <c r="L89" i="11"/>
  <c r="Q92" i="11"/>
  <c r="I88" i="11"/>
  <c r="K84" i="11"/>
  <c r="R88" i="11"/>
  <c r="O93" i="11"/>
  <c r="L84" i="11"/>
  <c r="J89" i="11"/>
  <c r="M91" i="11"/>
  <c r="Q85" i="11"/>
  <c r="L95" i="11"/>
  <c r="J84" i="11"/>
  <c r="O91" i="11"/>
  <c r="O88" i="11"/>
  <c r="M93" i="11"/>
  <c r="M86" i="11"/>
  <c r="N84" i="11"/>
  <c r="Q84" i="11"/>
  <c r="O86" i="11"/>
  <c r="M88" i="11"/>
  <c r="K90" i="11"/>
  <c r="R91" i="11"/>
  <c r="P93" i="11"/>
  <c r="N95" i="11"/>
  <c r="I84" i="11"/>
  <c r="M85" i="11"/>
  <c r="P87" i="11"/>
  <c r="J90" i="11"/>
  <c r="N92" i="11"/>
  <c r="Q94" i="11"/>
  <c r="I95" i="11"/>
  <c r="N85" i="11"/>
  <c r="Q87" i="11"/>
  <c r="L90" i="11"/>
  <c r="O92" i="11"/>
  <c r="R94" i="11"/>
  <c r="K88" i="11"/>
  <c r="R92" i="11"/>
  <c r="L85" i="11"/>
  <c r="O90" i="11"/>
  <c r="K94" i="11"/>
  <c r="J93" i="11"/>
  <c r="N88" i="11"/>
  <c r="K93" i="11"/>
  <c r="O84" i="11"/>
  <c r="J94" i="11"/>
  <c r="P88" i="11"/>
  <c r="I93" i="11"/>
  <c r="N87" i="11"/>
  <c r="J91" i="11"/>
  <c r="O94" i="11"/>
  <c r="N86" i="11"/>
  <c r="L91" i="11"/>
  <c r="I85" i="11"/>
  <c r="P86" i="11"/>
  <c r="Q93" i="11"/>
  <c r="I86" i="11"/>
  <c r="N90" i="11"/>
  <c r="K91" i="11"/>
  <c r="I94" i="11"/>
  <c r="P92" i="11"/>
  <c r="F29" i="9"/>
  <c r="F28" i="9" s="1"/>
  <c r="F77" i="11"/>
  <c r="D76" i="11"/>
  <c r="D77" i="11" s="1"/>
  <c r="F73" i="11"/>
  <c r="D72" i="11"/>
  <c r="D73" i="11" s="1"/>
  <c r="D79" i="11"/>
  <c r="D78" i="11"/>
  <c r="A45" i="11"/>
  <c r="N36" i="11"/>
  <c r="O36" i="11" s="1"/>
  <c r="P36" i="11" s="1"/>
  <c r="F100" i="11"/>
  <c r="G107" i="11"/>
  <c r="E106" i="11"/>
  <c r="F102" i="11"/>
  <c r="E111" i="11"/>
  <c r="E100" i="11"/>
  <c r="F109" i="11"/>
  <c r="G101" i="11"/>
  <c r="E101" i="11"/>
  <c r="F104" i="11"/>
  <c r="E102" i="11"/>
  <c r="F105" i="11"/>
  <c r="F108" i="11"/>
  <c r="G102" i="11"/>
  <c r="G109" i="11"/>
  <c r="E109" i="11"/>
  <c r="G110" i="11"/>
  <c r="E103" i="11"/>
  <c r="G100" i="11"/>
  <c r="E105" i="11"/>
  <c r="F101" i="11"/>
  <c r="E110" i="11"/>
  <c r="F107" i="11"/>
  <c r="G106" i="11"/>
  <c r="F103" i="11"/>
  <c r="E108" i="11"/>
  <c r="F110" i="11"/>
  <c r="F106" i="11"/>
  <c r="G103" i="11"/>
  <c r="G111" i="11"/>
  <c r="G105" i="11"/>
  <c r="G104" i="11"/>
  <c r="F111" i="11"/>
  <c r="E107" i="11"/>
  <c r="E104" i="11"/>
  <c r="G108" i="11"/>
  <c r="A41" i="11" l="1"/>
  <c r="B45" i="11"/>
  <c r="C45" i="11"/>
  <c r="C41" i="11" l="1"/>
  <c r="B41" i="11"/>
  <c r="A42" i="11"/>
  <c r="C42" i="11" l="1"/>
  <c r="B42" i="11"/>
  <c r="A43" i="11"/>
  <c r="B43" i="11" l="1"/>
  <c r="C43" i="11"/>
  <c r="A44" i="11"/>
  <c r="C44" i="11" l="1"/>
  <c r="B44" i="11"/>
</calcChain>
</file>

<file path=xl/sharedStrings.xml><?xml version="1.0" encoding="utf-8"?>
<sst xmlns="http://schemas.openxmlformats.org/spreadsheetml/2006/main" count="385" uniqueCount="303">
  <si>
    <t>Cost of Infection</t>
  </si>
  <si>
    <t>Vaccine Cost</t>
  </si>
  <si>
    <t>Very Cost Effective</t>
  </si>
  <si>
    <t>Cost Effective</t>
  </si>
  <si>
    <t>Incidence</t>
  </si>
  <si>
    <t>Cases Averted</t>
  </si>
  <si>
    <t>DALYs</t>
  </si>
  <si>
    <t>Deaths Averted</t>
  </si>
  <si>
    <t>Gross Domestic Product/Capita</t>
  </si>
  <si>
    <t>Life Expectancy</t>
  </si>
  <si>
    <t>Output</t>
  </si>
  <si>
    <t>1</t>
  </si>
  <si>
    <t>2</t>
  </si>
  <si>
    <t>3</t>
  </si>
  <si>
    <t>Percent Vaccinees</t>
  </si>
  <si>
    <t>Vaccinated</t>
  </si>
  <si>
    <t>Total</t>
  </si>
  <si>
    <t>Cost</t>
  </si>
  <si>
    <t>Total Cost</t>
  </si>
  <si>
    <t>Year 1</t>
  </si>
  <si>
    <t>Year 2</t>
  </si>
  <si>
    <t>Year 3</t>
  </si>
  <si>
    <t>Year 4</t>
  </si>
  <si>
    <t>Year 5</t>
  </si>
  <si>
    <t>Input</t>
  </si>
  <si>
    <t>Cost Averted</t>
  </si>
  <si>
    <t>Total DALYs Averted</t>
  </si>
  <si>
    <t>YLD Averted/Year</t>
  </si>
  <si>
    <t>YLL Averted/Year</t>
  </si>
  <si>
    <t>Total DALYs</t>
  </si>
  <si>
    <t>CER= (Program Cost - Cost Avoided) / DALYs Avoided</t>
  </si>
  <si>
    <t>Sum (t= 0, Duration) ((YLD/Year + YLL/Year)/(1+Duration)^t)</t>
  </si>
  <si>
    <t>Non-Fatal Cases Averted</t>
  </si>
  <si>
    <t>Illness Duration (Days)</t>
  </si>
  <si>
    <t>Population</t>
  </si>
  <si>
    <t>Cost per Case Averted</t>
  </si>
  <si>
    <t>DALYs Averted</t>
  </si>
  <si>
    <t>Equations</t>
  </si>
  <si>
    <t>Total Cases Averted</t>
  </si>
  <si>
    <t>Cost per Death</t>
  </si>
  <si>
    <t>Total Averted</t>
  </si>
  <si>
    <t>Expected Cases</t>
  </si>
  <si>
    <t>Expected Deaths</t>
  </si>
  <si>
    <t>Total Expected</t>
  </si>
  <si>
    <t>Case Fatality Ratio (%)</t>
  </si>
  <si>
    <t>DALY/Case</t>
  </si>
  <si>
    <t>DALY/Death</t>
  </si>
  <si>
    <t>Cost/DALY</t>
  </si>
  <si>
    <t>Population Coverage</t>
  </si>
  <si>
    <t>Non-Selective</t>
  </si>
  <si>
    <t>GDP</t>
  </si>
  <si>
    <t>Cost Effective Threshold</t>
  </si>
  <si>
    <t>Cost of Vaccinating</t>
  </si>
  <si>
    <t>Cost of Infection Averted</t>
  </si>
  <si>
    <t>Cost of Death Averted</t>
  </si>
  <si>
    <t>Value of Life</t>
  </si>
  <si>
    <t>1/2Value of Life</t>
  </si>
  <si>
    <t>2Value of Life</t>
  </si>
  <si>
    <t>Target</t>
  </si>
  <si>
    <t>Attack Rate</t>
  </si>
  <si>
    <r>
      <t xml:space="preserve">Cost per </t>
    </r>
    <r>
      <rPr>
        <sz val="12"/>
        <color theme="1"/>
        <rFont val="Arial"/>
        <family val="2"/>
      </rPr>
      <t>Life Saved</t>
    </r>
  </si>
  <si>
    <r>
      <rPr>
        <sz val="12"/>
        <color theme="1"/>
        <rFont val="Arial"/>
        <family val="2"/>
      </rPr>
      <t xml:space="preserve">Total </t>
    </r>
    <r>
      <rPr>
        <sz val="12"/>
        <color theme="1"/>
        <rFont val="Arial"/>
        <family val="2"/>
      </rPr>
      <t>Cost</t>
    </r>
  </si>
  <si>
    <t>Net Cost</t>
  </si>
  <si>
    <t>Group</t>
  </si>
  <si>
    <t>4</t>
  </si>
  <si>
    <t>Twice Return</t>
  </si>
  <si>
    <t>Half Return</t>
  </si>
  <si>
    <t>Calculations</t>
  </si>
  <si>
    <t>The last Sheet provides further information and documentation on the assumptions and methods used in this model.</t>
  </si>
  <si>
    <t>This model is a work in progress and will continue to develop and improve. Questions or comments can be directed to:</t>
  </si>
  <si>
    <t>Fred Hutchinson Cancer Research Center</t>
  </si>
  <si>
    <t>ctroeger@fhcrc.org</t>
  </si>
  <si>
    <t>Thanks!</t>
  </si>
  <si>
    <t>Collectively they provide a complementary analysis of the Cost-Effectiveness of Vaccination Campaigns.</t>
  </si>
  <si>
    <t>Targeted Vaccination</t>
  </si>
  <si>
    <t>The DALY framework is based on the World Health Organization Choosing Interventions that are Cost Effective (CHOICE) recommendations</t>
  </si>
  <si>
    <t>The analytic methodology is based on the Oral Cholera Vaccine cost-effectiveness work by Jeuland et al., 2009.</t>
  </si>
  <si>
    <t>Net Program Cost</t>
  </si>
  <si>
    <r>
      <t>Incidence</t>
    </r>
    <r>
      <rPr>
        <sz val="12"/>
        <color theme="1"/>
        <rFont val="Arial"/>
        <family val="2"/>
      </rPr>
      <t xml:space="preserve"> (per 1,000 per year)</t>
    </r>
  </si>
  <si>
    <t>CFR</t>
  </si>
  <si>
    <t>Duration</t>
  </si>
  <si>
    <t>Cost Effective Modeled 30%</t>
  </si>
  <si>
    <t>Cost Effective Modeled 50%</t>
  </si>
  <si>
    <t>Cost Effective Modeled 70%</t>
  </si>
  <si>
    <t>Cost Effective Modeled 90%</t>
  </si>
  <si>
    <t>Cost per DALY Averted</t>
  </si>
  <si>
    <t>No. Vaccinated/Case Averted</t>
  </si>
  <si>
    <t>No. Vaccinated/Death Averted</t>
  </si>
  <si>
    <t>$/DALY 1 Year</t>
  </si>
  <si>
    <t>$/DALY 3 Years</t>
  </si>
  <si>
    <t>$/DALY 5 Years</t>
  </si>
  <si>
    <r>
      <rPr>
        <sz val="12"/>
        <color theme="1"/>
        <rFont val="Arial"/>
        <family val="2"/>
      </rPr>
      <t>People Fully Vaccinated</t>
    </r>
  </si>
  <si>
    <t>75% VE</t>
  </si>
  <si>
    <t>45% VE</t>
  </si>
  <si>
    <t>65% VE</t>
  </si>
  <si>
    <t>Vaccine Efficacy (%)</t>
  </si>
  <si>
    <t>No Intervention</t>
  </si>
  <si>
    <t>Very CE-Highest</t>
  </si>
  <si>
    <t>CE-Highest</t>
  </si>
  <si>
    <t>Primary Cost-Effectiveness Analysis</t>
  </si>
  <si>
    <t>Calculations for Figure 2, Costs of Targeted Vaccination</t>
  </si>
  <si>
    <t>Not Currently Used</t>
  </si>
  <si>
    <t>Table for Mathematical Modeled Protection Estimates</t>
  </si>
  <si>
    <t>Calculates the Overall CFR for Cost-Effectiveness, Figure 3</t>
  </si>
  <si>
    <t>Calculates Duration of Protection, VE for Figures 5 &amp; 6</t>
  </si>
  <si>
    <t>Overall PE</t>
  </si>
  <si>
    <t>Parameter values to be Cost-Effective</t>
  </si>
  <si>
    <r>
      <t>The calculation of DALYs follows the methodology in</t>
    </r>
    <r>
      <rPr>
        <b/>
        <i/>
        <sz val="12"/>
        <color theme="1"/>
        <rFont val="Arial"/>
        <family val="2"/>
      </rPr>
      <t xml:space="preserve"> Jeuland, M., et al., Cost-effectiveness of new-generation oral cholera vaccines: a multisite analysis. Value Health, 2009. 12(6): p. 899-908.</t>
    </r>
  </si>
  <si>
    <t>Cost per DALY</t>
  </si>
  <si>
    <t>**Numbers rounded</t>
  </si>
  <si>
    <r>
      <t>D</t>
    </r>
    <r>
      <rPr>
        <sz val="12"/>
        <color theme="1"/>
        <rFont val="Arial"/>
        <family val="2"/>
      </rPr>
      <t xml:space="preserve">isability </t>
    </r>
    <r>
      <rPr>
        <sz val="12"/>
        <color theme="1"/>
        <rFont val="Arial"/>
        <family val="2"/>
      </rPr>
      <t>A</t>
    </r>
    <r>
      <rPr>
        <sz val="12"/>
        <color theme="1"/>
        <rFont val="Arial"/>
        <family val="2"/>
      </rPr>
      <t xml:space="preserve">djusted </t>
    </r>
    <r>
      <rPr>
        <sz val="12"/>
        <color theme="1"/>
        <rFont val="Arial"/>
        <family val="2"/>
      </rPr>
      <t>L</t>
    </r>
    <r>
      <rPr>
        <sz val="12"/>
        <color theme="1"/>
        <rFont val="Arial"/>
        <family val="2"/>
      </rPr>
      <t xml:space="preserve">ife </t>
    </r>
    <r>
      <rPr>
        <sz val="12"/>
        <color theme="1"/>
        <rFont val="Arial"/>
        <family val="2"/>
      </rPr>
      <t>Y</t>
    </r>
    <r>
      <rPr>
        <sz val="12"/>
        <color theme="1"/>
        <rFont val="Arial"/>
        <family val="2"/>
      </rPr>
      <t>ear</t>
    </r>
    <r>
      <rPr>
        <sz val="12"/>
        <color theme="1"/>
        <rFont val="Arial"/>
        <family val="2"/>
      </rPr>
      <t>s = Years of Life Lost + Years Lost to Disability</t>
    </r>
  </si>
  <si>
    <r>
      <t>C</t>
    </r>
    <r>
      <rPr>
        <sz val="12"/>
        <color theme="1"/>
        <rFont val="Arial"/>
        <family val="2"/>
      </rPr>
      <t xml:space="preserve">ase </t>
    </r>
    <r>
      <rPr>
        <sz val="12"/>
        <color theme="1"/>
        <rFont val="Arial"/>
        <family val="2"/>
      </rPr>
      <t>F</t>
    </r>
    <r>
      <rPr>
        <sz val="12"/>
        <color theme="1"/>
        <rFont val="Arial"/>
        <family val="2"/>
      </rPr>
      <t xml:space="preserve">atality </t>
    </r>
    <r>
      <rPr>
        <sz val="12"/>
        <color theme="1"/>
        <rFont val="Arial"/>
        <family val="2"/>
      </rPr>
      <t>R</t>
    </r>
    <r>
      <rPr>
        <sz val="12"/>
        <color theme="1"/>
        <rFont val="Arial"/>
        <family val="2"/>
      </rPr>
      <t xml:space="preserve">atio </t>
    </r>
    <r>
      <rPr>
        <sz val="12"/>
        <color theme="1"/>
        <rFont val="Arial"/>
        <family val="2"/>
      </rPr>
      <t>*</t>
    </r>
    <r>
      <rPr>
        <sz val="12"/>
        <color theme="1"/>
        <rFont val="Arial"/>
        <family val="2"/>
      </rPr>
      <t xml:space="preserve"> </t>
    </r>
    <r>
      <rPr>
        <sz val="12"/>
        <color theme="1"/>
        <rFont val="Arial"/>
        <family val="2"/>
      </rPr>
      <t>V</t>
    </r>
    <r>
      <rPr>
        <sz val="12"/>
        <color theme="1"/>
        <rFont val="Arial"/>
        <family val="2"/>
      </rPr>
      <t xml:space="preserve">accine </t>
    </r>
    <r>
      <rPr>
        <sz val="12"/>
        <color theme="1"/>
        <rFont val="Arial"/>
        <family val="2"/>
      </rPr>
      <t>E</t>
    </r>
    <r>
      <rPr>
        <sz val="12"/>
        <color theme="1"/>
        <rFont val="Arial"/>
        <family val="2"/>
      </rPr>
      <t xml:space="preserve">fficacy </t>
    </r>
    <r>
      <rPr>
        <sz val="12"/>
        <color theme="1"/>
        <rFont val="Arial"/>
        <family val="2"/>
      </rPr>
      <t>*</t>
    </r>
    <r>
      <rPr>
        <sz val="12"/>
        <color theme="1"/>
        <rFont val="Arial"/>
        <family val="2"/>
      </rPr>
      <t xml:space="preserve"> </t>
    </r>
    <r>
      <rPr>
        <sz val="12"/>
        <color theme="1"/>
        <rFont val="Arial"/>
        <family val="2"/>
      </rPr>
      <t>Inc</t>
    </r>
    <r>
      <rPr>
        <sz val="12"/>
        <color theme="1"/>
        <rFont val="Arial"/>
        <family val="2"/>
      </rPr>
      <t xml:space="preserve">idence </t>
    </r>
    <r>
      <rPr>
        <sz val="12"/>
        <color theme="1"/>
        <rFont val="Arial"/>
        <family val="2"/>
      </rPr>
      <t>*</t>
    </r>
    <r>
      <rPr>
        <sz val="12"/>
        <color theme="1"/>
        <rFont val="Arial"/>
        <family val="2"/>
      </rPr>
      <t xml:space="preserve"> </t>
    </r>
    <r>
      <rPr>
        <sz val="12"/>
        <color theme="1"/>
        <rFont val="Arial"/>
        <family val="2"/>
      </rPr>
      <t>(1</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exp(-Discount</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Life</t>
    </r>
    <r>
      <rPr>
        <sz val="12"/>
        <color theme="1"/>
        <rFont val="Arial"/>
        <family val="2"/>
      </rPr>
      <t xml:space="preserve"> </t>
    </r>
    <r>
      <rPr>
        <sz val="12"/>
        <color theme="1"/>
        <rFont val="Arial"/>
        <family val="2"/>
      </rPr>
      <t>Exp</t>
    </r>
    <r>
      <rPr>
        <sz val="12"/>
        <color theme="1"/>
        <rFont val="Arial"/>
        <family val="2"/>
      </rPr>
      <t>ectancy</t>
    </r>
    <r>
      <rPr>
        <sz val="12"/>
        <color theme="1"/>
        <rFont val="Arial"/>
        <family val="2"/>
      </rPr>
      <t>))/Discount</t>
    </r>
  </si>
  <si>
    <r>
      <t>C</t>
    </r>
    <r>
      <rPr>
        <sz val="12"/>
        <color theme="1"/>
        <rFont val="Arial"/>
        <family val="2"/>
      </rPr>
      <t xml:space="preserve">ost of </t>
    </r>
    <r>
      <rPr>
        <sz val="12"/>
        <color theme="1"/>
        <rFont val="Arial"/>
        <family val="2"/>
      </rPr>
      <t>I</t>
    </r>
    <r>
      <rPr>
        <sz val="12"/>
        <color theme="1"/>
        <rFont val="Arial"/>
        <family val="2"/>
      </rPr>
      <t xml:space="preserve">nfection </t>
    </r>
    <r>
      <rPr>
        <sz val="12"/>
        <color theme="1"/>
        <rFont val="Arial"/>
        <family val="2"/>
      </rPr>
      <t>*</t>
    </r>
    <r>
      <rPr>
        <sz val="12"/>
        <color theme="1"/>
        <rFont val="Arial"/>
        <family val="2"/>
      </rPr>
      <t xml:space="preserve"> </t>
    </r>
    <r>
      <rPr>
        <sz val="12"/>
        <color theme="1"/>
        <rFont val="Arial"/>
        <family val="2"/>
      </rPr>
      <t>Duration</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Inc</t>
    </r>
    <r>
      <rPr>
        <sz val="12"/>
        <color theme="1"/>
        <rFont val="Arial"/>
        <family val="2"/>
      </rPr>
      <t xml:space="preserve">idence </t>
    </r>
    <r>
      <rPr>
        <sz val="12"/>
        <color theme="1"/>
        <rFont val="Arial"/>
        <family val="2"/>
      </rPr>
      <t>*</t>
    </r>
    <r>
      <rPr>
        <sz val="12"/>
        <color theme="1"/>
        <rFont val="Arial"/>
        <family val="2"/>
      </rPr>
      <t xml:space="preserve"> </t>
    </r>
    <r>
      <rPr>
        <sz val="12"/>
        <color theme="1"/>
        <rFont val="Arial"/>
        <family val="2"/>
      </rPr>
      <t>V</t>
    </r>
    <r>
      <rPr>
        <sz val="12"/>
        <color theme="1"/>
        <rFont val="Arial"/>
        <family val="2"/>
      </rPr>
      <t>accine Efficacy</t>
    </r>
  </si>
  <si>
    <r>
      <t>G</t>
    </r>
    <r>
      <rPr>
        <sz val="12"/>
        <color theme="1"/>
        <rFont val="Arial"/>
        <family val="2"/>
      </rPr>
      <t xml:space="preserve">ross </t>
    </r>
    <r>
      <rPr>
        <sz val="12"/>
        <color theme="1"/>
        <rFont val="Arial"/>
        <family val="2"/>
      </rPr>
      <t>D</t>
    </r>
    <r>
      <rPr>
        <sz val="12"/>
        <color theme="1"/>
        <rFont val="Arial"/>
        <family val="2"/>
      </rPr>
      <t xml:space="preserve">omestic </t>
    </r>
    <r>
      <rPr>
        <sz val="12"/>
        <color theme="1"/>
        <rFont val="Arial"/>
        <family val="2"/>
      </rPr>
      <t>P</t>
    </r>
    <r>
      <rPr>
        <sz val="12"/>
        <color theme="1"/>
        <rFont val="Arial"/>
        <family val="2"/>
      </rPr>
      <t xml:space="preserve">roduct </t>
    </r>
    <r>
      <rPr>
        <sz val="12"/>
        <color theme="1"/>
        <rFont val="Arial"/>
        <family val="2"/>
      </rPr>
      <t>*</t>
    </r>
    <r>
      <rPr>
        <sz val="12"/>
        <color theme="1"/>
        <rFont val="Arial"/>
        <family val="2"/>
      </rPr>
      <t xml:space="preserve"> </t>
    </r>
    <r>
      <rPr>
        <sz val="12"/>
        <color theme="1"/>
        <rFont val="Arial"/>
        <family val="2"/>
      </rPr>
      <t>TotalDALYs + CostAverted</t>
    </r>
  </si>
  <si>
    <r>
      <t>V</t>
    </r>
    <r>
      <rPr>
        <sz val="12"/>
        <color theme="1"/>
        <rFont val="Arial"/>
        <family val="2"/>
      </rPr>
      <t xml:space="preserve">accine Cost </t>
    </r>
    <r>
      <rPr>
        <sz val="12"/>
        <color theme="1"/>
        <rFont val="Arial"/>
        <family val="2"/>
      </rPr>
      <t>/</t>
    </r>
    <r>
      <rPr>
        <sz val="12"/>
        <color theme="1"/>
        <rFont val="Arial"/>
        <family val="2"/>
      </rPr>
      <t xml:space="preserve"> </t>
    </r>
    <r>
      <rPr>
        <sz val="12"/>
        <color theme="1"/>
        <rFont val="Arial"/>
        <family val="2"/>
      </rPr>
      <t>(GDP</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TotalDALYs / V</t>
    </r>
    <r>
      <rPr>
        <sz val="12"/>
        <color theme="1"/>
        <rFont val="Arial"/>
        <family val="2"/>
      </rPr>
      <t>accine Efficacy</t>
    </r>
    <r>
      <rPr>
        <sz val="12"/>
        <color theme="1"/>
        <rFont val="Arial"/>
        <family val="2"/>
      </rPr>
      <t xml:space="preserve"> + C</t>
    </r>
    <r>
      <rPr>
        <sz val="12"/>
        <color theme="1"/>
        <rFont val="Arial"/>
        <family val="2"/>
      </rPr>
      <t xml:space="preserve">ost of </t>
    </r>
    <r>
      <rPr>
        <sz val="12"/>
        <color theme="1"/>
        <rFont val="Arial"/>
        <family val="2"/>
      </rPr>
      <t>I</t>
    </r>
    <r>
      <rPr>
        <sz val="12"/>
        <color theme="1"/>
        <rFont val="Arial"/>
        <family val="2"/>
      </rPr>
      <t xml:space="preserve">llness </t>
    </r>
    <r>
      <rPr>
        <sz val="12"/>
        <color theme="1"/>
        <rFont val="Arial"/>
        <family val="2"/>
      </rPr>
      <t>*</t>
    </r>
    <r>
      <rPr>
        <sz val="12"/>
        <color theme="1"/>
        <rFont val="Arial"/>
        <family val="2"/>
      </rPr>
      <t xml:space="preserve"> </t>
    </r>
    <r>
      <rPr>
        <sz val="12"/>
        <color theme="1"/>
        <rFont val="Arial"/>
        <family val="2"/>
      </rPr>
      <t>Duration</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Inc</t>
    </r>
    <r>
      <rPr>
        <sz val="12"/>
        <color theme="1"/>
        <rFont val="Arial"/>
        <family val="2"/>
      </rPr>
      <t>idence</t>
    </r>
    <r>
      <rPr>
        <sz val="12"/>
        <color theme="1"/>
        <rFont val="Arial"/>
        <family val="2"/>
      </rPr>
      <t>)</t>
    </r>
  </si>
  <si>
    <r>
      <t>V</t>
    </r>
    <r>
      <rPr>
        <sz val="12"/>
        <color theme="1"/>
        <rFont val="Arial"/>
        <family val="2"/>
      </rPr>
      <t>accine Cost</t>
    </r>
    <r>
      <rPr>
        <sz val="12"/>
        <color theme="1"/>
        <rFont val="Arial"/>
        <family val="2"/>
      </rPr>
      <t xml:space="preserve"> / (GDP</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TotalDALYs / Inc</t>
    </r>
    <r>
      <rPr>
        <sz val="12"/>
        <color theme="1"/>
        <rFont val="Arial"/>
        <family val="2"/>
      </rPr>
      <t>idence</t>
    </r>
    <r>
      <rPr>
        <sz val="12"/>
        <color theme="1"/>
        <rFont val="Arial"/>
        <family val="2"/>
      </rPr>
      <t xml:space="preserve"> + C</t>
    </r>
    <r>
      <rPr>
        <sz val="12"/>
        <color theme="1"/>
        <rFont val="Arial"/>
        <family val="2"/>
      </rPr>
      <t xml:space="preserve">ost of Infection </t>
    </r>
    <r>
      <rPr>
        <sz val="12"/>
        <color theme="1"/>
        <rFont val="Arial"/>
        <family val="2"/>
      </rPr>
      <t>*</t>
    </r>
    <r>
      <rPr>
        <sz val="12"/>
        <color theme="1"/>
        <rFont val="Arial"/>
        <family val="2"/>
      </rPr>
      <t xml:space="preserve"> </t>
    </r>
    <r>
      <rPr>
        <sz val="12"/>
        <color theme="1"/>
        <rFont val="Arial"/>
        <family val="2"/>
      </rPr>
      <t>Duration</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V</t>
    </r>
    <r>
      <rPr>
        <sz val="12"/>
        <color theme="1"/>
        <rFont val="Arial"/>
        <family val="2"/>
      </rPr>
      <t>accine Efficacy</t>
    </r>
    <r>
      <rPr>
        <sz val="12"/>
        <color theme="1"/>
        <rFont val="Arial"/>
        <family val="2"/>
      </rPr>
      <t>)</t>
    </r>
  </si>
  <si>
    <r>
      <t>For Single Year: ((1+Discount</t>
    </r>
    <r>
      <rPr>
        <sz val="12"/>
        <color theme="1"/>
        <rFont val="Arial"/>
        <family val="2"/>
      </rPr>
      <t>)^t(V</t>
    </r>
    <r>
      <rPr>
        <sz val="12"/>
        <color theme="1"/>
        <rFont val="Arial"/>
        <family val="2"/>
      </rPr>
      <t>accine Cost</t>
    </r>
    <r>
      <rPr>
        <sz val="12"/>
        <color theme="1"/>
        <rFont val="Arial"/>
        <family val="2"/>
      </rPr>
      <t xml:space="preserve"> - C</t>
    </r>
    <r>
      <rPr>
        <sz val="12"/>
        <color theme="1"/>
        <rFont val="Arial"/>
        <family val="2"/>
      </rPr>
      <t xml:space="preserve">ost of Infection </t>
    </r>
    <r>
      <rPr>
        <sz val="12"/>
        <color theme="1"/>
        <rFont val="Arial"/>
        <family val="2"/>
      </rPr>
      <t>*</t>
    </r>
    <r>
      <rPr>
        <sz val="12"/>
        <color theme="1"/>
        <rFont val="Arial"/>
        <family val="2"/>
      </rPr>
      <t xml:space="preserve"> </t>
    </r>
    <r>
      <rPr>
        <sz val="12"/>
        <color theme="1"/>
        <rFont val="Arial"/>
        <family val="2"/>
      </rPr>
      <t>Inc</t>
    </r>
    <r>
      <rPr>
        <sz val="12"/>
        <color theme="1"/>
        <rFont val="Arial"/>
        <family val="2"/>
      </rPr>
      <t xml:space="preserve">idence </t>
    </r>
    <r>
      <rPr>
        <sz val="12"/>
        <color theme="1"/>
        <rFont val="Arial"/>
        <family val="2"/>
      </rPr>
      <t>*</t>
    </r>
    <r>
      <rPr>
        <sz val="12"/>
        <color theme="1"/>
        <rFont val="Arial"/>
        <family val="2"/>
      </rPr>
      <t xml:space="preserve"> </t>
    </r>
    <r>
      <rPr>
        <sz val="12"/>
        <color theme="1"/>
        <rFont val="Arial"/>
        <family val="2"/>
      </rPr>
      <t>V</t>
    </r>
    <r>
      <rPr>
        <sz val="12"/>
        <color theme="1"/>
        <rFont val="Arial"/>
        <family val="2"/>
      </rPr>
      <t xml:space="preserve">accine Efficacy </t>
    </r>
    <r>
      <rPr>
        <sz val="12"/>
        <color theme="1"/>
        <rFont val="Arial"/>
        <family val="2"/>
      </rPr>
      <t>*</t>
    </r>
    <r>
      <rPr>
        <sz val="12"/>
        <color theme="1"/>
        <rFont val="Arial"/>
        <family val="2"/>
      </rPr>
      <t xml:space="preserve"> </t>
    </r>
    <r>
      <rPr>
        <sz val="12"/>
        <color theme="1"/>
        <rFont val="Arial"/>
        <family val="2"/>
      </rPr>
      <t>Duration) / 3</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GDP</t>
    </r>
    <r>
      <rPr>
        <sz val="12"/>
        <color theme="1"/>
        <rFont val="Arial"/>
        <family val="2"/>
      </rPr>
      <t xml:space="preserve"> </t>
    </r>
    <r>
      <rPr>
        <sz val="12"/>
        <color theme="1"/>
        <rFont val="Arial"/>
        <family val="2"/>
      </rPr>
      <t>*</t>
    </r>
    <r>
      <rPr>
        <sz val="12"/>
        <color theme="1"/>
        <rFont val="Arial"/>
        <family val="2"/>
      </rPr>
      <t xml:space="preserve"> </t>
    </r>
    <r>
      <rPr>
        <sz val="12"/>
        <color theme="1"/>
        <rFont val="Arial"/>
        <family val="2"/>
      </rPr>
      <t>V</t>
    </r>
    <r>
      <rPr>
        <sz val="12"/>
        <color theme="1"/>
        <rFont val="Arial"/>
        <family val="2"/>
      </rPr>
      <t xml:space="preserve">accine Efficacy </t>
    </r>
    <r>
      <rPr>
        <sz val="12"/>
        <color theme="1"/>
        <rFont val="Arial"/>
        <family val="2"/>
      </rPr>
      <t>*</t>
    </r>
    <r>
      <rPr>
        <sz val="12"/>
        <color theme="1"/>
        <rFont val="Arial"/>
        <family val="2"/>
      </rPr>
      <t xml:space="preserve"> </t>
    </r>
    <r>
      <rPr>
        <sz val="12"/>
        <color theme="1"/>
        <rFont val="Arial"/>
        <family val="2"/>
      </rPr>
      <t>Inc</t>
    </r>
    <r>
      <rPr>
        <sz val="12"/>
        <color theme="1"/>
        <rFont val="Arial"/>
        <family val="2"/>
      </rPr>
      <t>idence</t>
    </r>
    <r>
      <rPr>
        <sz val="12"/>
        <color theme="1"/>
        <rFont val="Arial"/>
        <family val="2"/>
      </rPr>
      <t xml:space="preserve"> - </t>
    </r>
    <r>
      <rPr>
        <sz val="12"/>
        <color theme="1"/>
        <rFont val="Arial"/>
        <family val="2"/>
      </rPr>
      <t xml:space="preserve">Illness Length </t>
    </r>
    <r>
      <rPr>
        <sz val="12"/>
        <color theme="1"/>
        <rFont val="Arial"/>
        <family val="2"/>
      </rPr>
      <t>*</t>
    </r>
    <r>
      <rPr>
        <sz val="12"/>
        <color theme="1"/>
        <rFont val="Arial"/>
        <family val="2"/>
      </rPr>
      <t xml:space="preserve"> Disability Weight</t>
    </r>
    <r>
      <rPr>
        <sz val="12"/>
        <color theme="1"/>
        <rFont val="Arial"/>
        <family val="2"/>
      </rPr>
      <t xml:space="preserve">) / </t>
    </r>
    <r>
      <rPr>
        <sz val="12"/>
        <color theme="1"/>
        <rFont val="Arial"/>
        <family val="2"/>
      </rPr>
      <t>(Illness Length * Disability Weight</t>
    </r>
    <r>
      <rPr>
        <sz val="12"/>
        <color theme="1"/>
        <rFont val="Arial"/>
        <family val="2"/>
      </rPr>
      <t xml:space="preserve"> - ((1 - exp(</t>
    </r>
    <r>
      <rPr>
        <sz val="12"/>
        <color theme="1"/>
        <rFont val="Arial"/>
        <family val="2"/>
      </rPr>
      <t xml:space="preserve">-Discount </t>
    </r>
    <r>
      <rPr>
        <sz val="12"/>
        <color theme="1"/>
        <rFont val="Arial"/>
        <family val="2"/>
      </rPr>
      <t>*</t>
    </r>
    <r>
      <rPr>
        <sz val="12"/>
        <color theme="1"/>
        <rFont val="Arial"/>
        <family val="2"/>
      </rPr>
      <t xml:space="preserve"> </t>
    </r>
    <r>
      <rPr>
        <sz val="12"/>
        <color theme="1"/>
        <rFont val="Arial"/>
        <family val="2"/>
      </rPr>
      <t>L</t>
    </r>
    <r>
      <rPr>
        <sz val="12"/>
        <color theme="1"/>
        <rFont val="Arial"/>
        <family val="2"/>
      </rPr>
      <t xml:space="preserve">ife </t>
    </r>
    <r>
      <rPr>
        <sz val="12"/>
        <color theme="1"/>
        <rFont val="Arial"/>
        <family val="2"/>
      </rPr>
      <t>E</t>
    </r>
    <r>
      <rPr>
        <sz val="12"/>
        <color theme="1"/>
        <rFont val="Arial"/>
        <family val="2"/>
      </rPr>
      <t>xpectancy</t>
    </r>
    <r>
      <rPr>
        <sz val="12"/>
        <color theme="1"/>
        <rFont val="Arial"/>
        <family val="2"/>
      </rPr>
      <t>))/</t>
    </r>
    <r>
      <rPr>
        <sz val="12"/>
        <color theme="1"/>
        <rFont val="Arial"/>
        <family val="2"/>
      </rPr>
      <t>Discount</t>
    </r>
    <r>
      <rPr>
        <sz val="12"/>
        <color theme="1"/>
        <rFont val="Arial"/>
        <family val="2"/>
      </rPr>
      <t>)</t>
    </r>
  </si>
  <si>
    <t>VACCINE INTRODUCTION COST-EFFECTIVENESS Calculator (VICE)</t>
  </si>
  <si>
    <t xml:space="preserve">The VICE Calculator requires rather intensive algebra, the intermediate steps are shown here. </t>
  </si>
  <si>
    <t>Christopher Troeger</t>
  </si>
  <si>
    <t>Cost-Effectiveness Thresholds</t>
  </si>
  <si>
    <r>
      <t>Disability Weight</t>
    </r>
    <r>
      <rPr>
        <sz val="12"/>
        <color theme="1"/>
        <rFont val="Arial"/>
        <family val="2"/>
      </rPr>
      <t xml:space="preserve"> (Between 0-1)</t>
    </r>
  </si>
  <si>
    <r>
      <t>Annual Discount Rate</t>
    </r>
    <r>
      <rPr>
        <sz val="12"/>
        <color theme="1"/>
        <rFont val="Arial"/>
        <family val="2"/>
      </rPr>
      <t xml:space="preserve"> (%)</t>
    </r>
  </si>
  <si>
    <r>
      <t xml:space="preserve">Life Expectancy </t>
    </r>
    <r>
      <rPr>
        <sz val="12"/>
        <color theme="1"/>
        <rFont val="Arial"/>
        <family val="2"/>
      </rPr>
      <t>at Age of Infection (Years)</t>
    </r>
  </si>
  <si>
    <r>
      <t xml:space="preserve">Population </t>
    </r>
    <r>
      <rPr>
        <sz val="12"/>
        <color theme="1"/>
        <rFont val="Arial"/>
        <family val="2"/>
      </rPr>
      <t>Distribution (% of Total)</t>
    </r>
  </si>
  <si>
    <r>
      <t>Cost of Illness</t>
    </r>
    <r>
      <rPr>
        <sz val="12"/>
        <color theme="1"/>
        <rFont val="Arial"/>
        <family val="2"/>
      </rPr>
      <t xml:space="preserve"> ($)</t>
    </r>
  </si>
  <si>
    <r>
      <t>Duration</t>
    </r>
    <r>
      <rPr>
        <sz val="12"/>
        <color theme="1"/>
        <rFont val="Arial"/>
        <family val="2"/>
      </rPr>
      <t xml:space="preserve"> of Immunity (Years)</t>
    </r>
  </si>
  <si>
    <r>
      <t>Vaccine Delivery Cost</t>
    </r>
    <r>
      <rPr>
        <sz val="12"/>
        <color theme="1"/>
        <rFont val="Arial"/>
        <family val="2"/>
      </rPr>
      <t xml:space="preserve"> ($)</t>
    </r>
  </si>
  <si>
    <r>
      <t>Vaccine Purchasing Cost</t>
    </r>
    <r>
      <rPr>
        <sz val="12"/>
        <color theme="1"/>
        <rFont val="Arial"/>
        <family val="2"/>
      </rPr>
      <t xml:space="preserve"> ($)</t>
    </r>
  </si>
  <si>
    <r>
      <t>Incidence (per 1,000</t>
    </r>
    <r>
      <rPr>
        <sz val="12"/>
        <color theme="1"/>
        <rFont val="Arial"/>
        <family val="2"/>
      </rPr>
      <t>/year</t>
    </r>
    <r>
      <rPr>
        <sz val="12"/>
        <color theme="1"/>
        <rFont val="Arial"/>
        <family val="2"/>
      </rPr>
      <t>)</t>
    </r>
  </si>
  <si>
    <t>More information on the calculation of cost-effectiveness can be found at:</t>
  </si>
  <si>
    <t xml:space="preserve">The WHO CHOICE website  </t>
  </si>
  <si>
    <t>http://www.who.int/choice/en/</t>
  </si>
  <si>
    <t>Fox-Rushby, J. A. and Hanson, K. (2001). "Calculating and presenting disability adjusted life years (DALYs) in cost-effectiveness analysis." Health Policy Plan 16(3): 326-331.</t>
  </si>
  <si>
    <t xml:space="preserve">Tan-Torres Edejer, T., et al. (2003). "Making Choices in Health: WHO Guide to Cost-Effectiveness Analysis." World Health Organization. </t>
  </si>
  <si>
    <t>Limit for Cost-Effectiveness is 3 x GDP per DALY Averted</t>
  </si>
  <si>
    <r>
      <t xml:space="preserve">Total </t>
    </r>
    <r>
      <rPr>
        <sz val="12"/>
        <color theme="1"/>
        <rFont val="Arial"/>
        <family val="2"/>
      </rPr>
      <t>Vaccine Cost</t>
    </r>
    <r>
      <rPr>
        <sz val="12"/>
        <color theme="1"/>
        <rFont val="Arial"/>
        <family val="2"/>
      </rPr>
      <t xml:space="preserve"> of Purchase &amp; Delivery</t>
    </r>
    <r>
      <rPr>
        <sz val="12"/>
        <color theme="1"/>
        <rFont val="Arial"/>
        <family val="2"/>
      </rPr>
      <t xml:space="preserve"> ($)</t>
    </r>
  </si>
  <si>
    <t>Country Name</t>
  </si>
  <si>
    <t>WHO Epi Region</t>
  </si>
  <si>
    <t>Sanitation Index</t>
  </si>
  <si>
    <r>
      <t xml:space="preserve">Annual </t>
    </r>
    <r>
      <rPr>
        <sz val="10"/>
        <rFont val="Arial"/>
        <family val="2"/>
      </rPr>
      <t>Cases</t>
    </r>
  </si>
  <si>
    <t>Case Fatality Rate</t>
  </si>
  <si>
    <t>Deaths</t>
  </si>
  <si>
    <t>Average Years Lost</t>
  </si>
  <si>
    <t>Inpatient Costs</t>
  </si>
  <si>
    <t>Clinic Costs</t>
  </si>
  <si>
    <t>Productivity Costs (non-deaths)</t>
  </si>
  <si>
    <t>Premature Death Costs</t>
  </si>
  <si>
    <t>Total Costs</t>
  </si>
  <si>
    <t>Cost per case (excluding deaths)</t>
  </si>
  <si>
    <t>Cost per case</t>
  </si>
  <si>
    <t>Angola</t>
  </si>
  <si>
    <t>AFR D</t>
  </si>
  <si>
    <t>Bangladesh</t>
  </si>
  <si>
    <t>SEAR D</t>
  </si>
  <si>
    <t>Benin</t>
  </si>
  <si>
    <t>Bhutan</t>
  </si>
  <si>
    <t>Burundi</t>
  </si>
  <si>
    <t>AFR E</t>
  </si>
  <si>
    <t>Cameroon</t>
  </si>
  <si>
    <t>Chad</t>
  </si>
  <si>
    <t>China</t>
  </si>
  <si>
    <t>WPR B</t>
  </si>
  <si>
    <t>Comoros</t>
  </si>
  <si>
    <t>Democratic Republic of Congo</t>
  </si>
  <si>
    <t>Ethiopia</t>
  </si>
  <si>
    <t>Ghana</t>
  </si>
  <si>
    <t>Guinea</t>
  </si>
  <si>
    <t>Guinea-Bissau</t>
  </si>
  <si>
    <t>India</t>
  </si>
  <si>
    <t>Indonesia</t>
  </si>
  <si>
    <t>SEAR B</t>
  </si>
  <si>
    <t>Iraq</t>
  </si>
  <si>
    <t>EMR D</t>
  </si>
  <si>
    <t>Islamic Republic of Iran</t>
  </si>
  <si>
    <t>EMR B</t>
  </si>
  <si>
    <t>Kenya</t>
  </si>
  <si>
    <t>Liberia</t>
  </si>
  <si>
    <t>Malawi</t>
  </si>
  <si>
    <t>Mali</t>
  </si>
  <si>
    <t>Mauritania</t>
  </si>
  <si>
    <t>Mozambique</t>
  </si>
  <si>
    <t>Myanmar</t>
  </si>
  <si>
    <t>Namibia</t>
  </si>
  <si>
    <t>Nepal</t>
  </si>
  <si>
    <t>Niger</t>
  </si>
  <si>
    <t>Nigeria</t>
  </si>
  <si>
    <t>Pakistan</t>
  </si>
  <si>
    <t>Philippines</t>
  </si>
  <si>
    <t>Republic of Congo</t>
  </si>
  <si>
    <t>Republic of Yemen</t>
  </si>
  <si>
    <t>Rwanda</t>
  </si>
  <si>
    <t>Sao Tome and Principe</t>
  </si>
  <si>
    <t>Senegal</t>
  </si>
  <si>
    <t>Sierra Leone</t>
  </si>
  <si>
    <t>South Africa</t>
  </si>
  <si>
    <t>Sudan</t>
  </si>
  <si>
    <t>Swaziland</t>
  </si>
  <si>
    <t>Tanzania</t>
  </si>
  <si>
    <t>Thailand</t>
  </si>
  <si>
    <t>The Gambia</t>
  </si>
  <si>
    <t>Togo</t>
  </si>
  <si>
    <t>Uganda</t>
  </si>
  <si>
    <t>Vietnam</t>
  </si>
  <si>
    <t>Zambia</t>
  </si>
  <si>
    <t>None / Other</t>
  </si>
  <si>
    <t>gdp_pd_i</t>
  </si>
  <si>
    <t>yr2010pop</t>
  </si>
  <si>
    <t>Cost of Illness Society</t>
  </si>
  <si>
    <t>Cost of Illness Healthcare</t>
  </si>
  <si>
    <t>Center for Statistics and Quantitative Infectious Diseases (CSQUID)</t>
  </si>
  <si>
    <t>Seattle, Washington, USA</t>
  </si>
  <si>
    <t>Calculates Figure 1.</t>
  </si>
  <si>
    <t>Contour Plot (Cost per Fully Vaccinated)</t>
  </si>
  <si>
    <t xml:space="preserve">* The Incidence and Case Fatality Ratio of disease are shown. </t>
  </si>
  <si>
    <t>Areas shaded blue are cost or very cost-effective.</t>
  </si>
  <si>
    <t xml:space="preserve"> indicate combinations that are cost effective at costs per fully vaccinated individual $1-10.</t>
  </si>
  <si>
    <t>* The Incidence and Case Fatality Ratio of disease are shown. Areas above and to the right</t>
  </si>
  <si>
    <t xml:space="preserve">**These country level estimates of cholera burden come from the University of Pittsburgh Medical Center (UPMC). </t>
  </si>
  <si>
    <t>Duration Illness</t>
  </si>
  <si>
    <r>
      <t>(1-C</t>
    </r>
    <r>
      <rPr>
        <sz val="12"/>
        <color theme="1"/>
        <rFont val="Arial"/>
        <family val="2"/>
      </rPr>
      <t>ase Fatality Ratio) * Vaccine Efficacy * Illness Length * Disability Weight * Incidence / (1 + Discount)^Illness Length</t>
    </r>
  </si>
  <si>
    <t>Here is where you will enter the numbers VICE will use to do the calculations:</t>
  </si>
  <si>
    <t>These are the numbers you can change</t>
  </si>
  <si>
    <t>Hints:</t>
  </si>
  <si>
    <t>What is the cost of the vaccine per dose?.............................................................................</t>
  </si>
  <si>
    <t>Shanchol currently costs $1.85 per dose, but other similar vaccines might cost more or less</t>
  </si>
  <si>
    <t>How many doses of vaccine do you plan to give to each person?............................</t>
  </si>
  <si>
    <t>Two doses are recommended; however, some studies are testing a single dose to see how well this works</t>
  </si>
  <si>
    <t>What is the cost, per dose, to deliver the vaccine to the people?.............................................................................</t>
  </si>
  <si>
    <t>The current estimate is $1.00, but if a program is very efficient, this might be less</t>
  </si>
  <si>
    <t>How many years do you expect the vaccine to protect?..................................................................................</t>
  </si>
  <si>
    <t>In Kolkata India, the vaccine protected for at least 5 years.  This might be more or less in other areas</t>
  </si>
  <si>
    <t>If a patient gets cholera, how much will it cost to treat the patient ?.............................................................</t>
  </si>
  <si>
    <t>Medical costs are very different in different areas. Generally one can assume this value will be the cost for 2 - 3 days in hospital</t>
  </si>
  <si>
    <t>What is the GDP per capita of the country?......................................................................</t>
  </si>
  <si>
    <t>You will need to look this up in a table, such as one from the World Bank...http://data.worldbank.org/indicator/NY.GDP.MKTP.CD</t>
  </si>
  <si>
    <t xml:space="preserve">Now VICE assumes that you may want to give vaccine to different groups with different characteristics.  You can divide the population into up to four groups.  These might be different age groups, or social groups, or geographic groups.  If you want to keep it simple, you do not have to divide the population into these groups; just put a zero for groups 2,3, and 4 if  you have only one group.  </t>
  </si>
  <si>
    <t xml:space="preserve">If you want to define different groups, </t>
  </si>
  <si>
    <t>what proportion of the population is in group 1?....................................</t>
  </si>
  <si>
    <t>What do you expect the incidence of cholera to be?  Incidence is expressed as number of cases per 1000 population per year</t>
  </si>
  <si>
    <t>in group 1……………………………………………………………………………………………………</t>
  </si>
  <si>
    <t>in group 2……………………………………………………………………………………………………</t>
  </si>
  <si>
    <t>in group 3……………………………………………………………………………………………………</t>
  </si>
  <si>
    <t>in group 4……………………………………………………………………………………………………</t>
  </si>
  <si>
    <t xml:space="preserve">What is the case fatality rate among the patients who get the disease in the different groups?  This is expressed as a percentage.  In some settings, up to 5% or even more will die, but it should be much lower if proper care is availble. </t>
  </si>
  <si>
    <t>What is the efficacy you expect from the vaccine. In other words, how much reduction in the rate of cholera do you expect if a person is vaccinated.  No vaccine gives 100% protection, but some give very high efficacy.  Most studies with cholera vaccine find about 70% efficacy, but this could change a bit depending on the situation.  If you have defined different groups, the efficacy may be different in the different groups, for example it might be different in different age groups.</t>
  </si>
  <si>
    <t>Discount rate…………………………………………………………………………………………</t>
  </si>
  <si>
    <t>How long do you expect a person with cholera to be sick enough to require treatment and/or be out of work?</t>
  </si>
  <si>
    <t>How many days?....................................................................................</t>
  </si>
  <si>
    <t>What do you think the disability weight to be?.......................................................</t>
  </si>
  <si>
    <t>Group 1</t>
  </si>
  <si>
    <t>Group 2</t>
  </si>
  <si>
    <t>Group 3</t>
  </si>
  <si>
    <t>Group 4</t>
  </si>
  <si>
    <t xml:space="preserve">The VICE Calculator contains three tabs with different purposes, described below. </t>
  </si>
  <si>
    <t>Entering the Data</t>
  </si>
  <si>
    <t>Charts and Tables</t>
  </si>
  <si>
    <t>February 5, 2015</t>
  </si>
  <si>
    <t>Years lost to Disability =</t>
  </si>
  <si>
    <t>Years of life lost =</t>
  </si>
  <si>
    <t>Total DALYs =</t>
  </si>
  <si>
    <t>Cost Averted =</t>
  </si>
  <si>
    <t>Vaccine Cost =</t>
  </si>
  <si>
    <t>Vaccine Effectiveness =</t>
  </si>
  <si>
    <t>Incidence =</t>
  </si>
  <si>
    <t>Case-Fatality Ratio =</t>
  </si>
  <si>
    <t>The annual discount rate is generally assigned a value of 3%.  This just indicates that a benefit this year is better than the same benefit next year and that the value decreases by this discount rate.  So, we normally set the rate at 3%, but you can change this if you think a different number is more appropriate. Many economists recommend varying this rate between 0% - 9% in sensitivity analyses.</t>
  </si>
  <si>
    <r>
      <t xml:space="preserve">If you can fill in all these numbers, you should then move to the </t>
    </r>
    <r>
      <rPr>
        <b/>
        <sz val="14"/>
        <color theme="1"/>
        <rFont val="Calibri"/>
        <family val="2"/>
        <scheme val="minor"/>
      </rPr>
      <t>Charts and Tables tab</t>
    </r>
    <r>
      <rPr>
        <sz val="14"/>
        <color theme="1"/>
        <rFont val="Calibri"/>
        <family val="2"/>
        <scheme val="minor"/>
      </rPr>
      <t xml:space="preserve"> to see your results. It is most interesting to try entering different numbers to see what difference it makes if the incidence changes, or if the cost of the vaccine changes.  If you change the numbers which are put into VICE, you will see what difference this makes in the cost effectiveness.</t>
    </r>
  </si>
  <si>
    <t>The disability weight is a measure of how much a disease or illness affects an individual's quality of life. This value ranges from 0 (perfect health) to 1 (complete disability / death). The Global Burden of Disease project has undertaken the task of assigning a range of illnesses and diseases a disability weight based on quantitative and qualitative input. Moderate to severe diarrhea is rated at 0.202 in the Global Burden of Disease 2013 study.</t>
  </si>
  <si>
    <r>
      <rPr>
        <sz val="12"/>
        <color theme="1"/>
        <rFont val="Arial"/>
        <family val="2"/>
      </rPr>
      <t xml:space="preserve">Total </t>
    </r>
    <r>
      <rPr>
        <sz val="12"/>
        <color theme="1"/>
        <rFont val="Arial"/>
        <family val="2"/>
      </rPr>
      <t>Cost per DALY Averted</t>
    </r>
  </si>
  <si>
    <r>
      <rPr>
        <b/>
        <sz val="14"/>
        <color theme="5"/>
        <rFont val="Calibri"/>
        <family val="2"/>
        <scheme val="minor"/>
      </rPr>
      <t xml:space="preserve">Welcome to the VICE Calculator. </t>
    </r>
    <r>
      <rPr>
        <sz val="14"/>
        <color theme="1"/>
        <rFont val="Calibri"/>
        <family val="2"/>
        <scheme val="minor"/>
      </rPr>
      <t xml:space="preserve"> This calculator is used to determine the cost effectiveness of a vaccine when it is delivered to group of people who are at risk of cholera.  Although VICE was developed specifically for cholera, it may find usefulness for other diseases where a specific intervention is intended to reduce the probability of the disease from occurring. 
Cost effectiveness is a concept in which one attempts to measure the amount of money required to avert a case of cholera, or avert a death from cholera, or to avert a DALY.  A vaccine will obviously be more cost effective if the vaccine is very inexpensive, but other factors also contribute to this calculation.  If the vaccine is given to people who have a high risk for the disease, the vaccine will prevent more cases than if it is given to persons with a low risk.  For example, if cholera vaccine is given to persons in the USA, even a vaccine that gives excellent protection and is very cheap vaccine will not be cost effective because people in the USA are not likely to get cholera whether or not they have been vaccinated.  On the other hand, a vaccine which gives only moderate protection will be highly cost effective if it is provided to persons at high risk, especially if the vaccine is inexpensive. 
The VICE Calculator examines the different variables needed to determine the cost effectiveness of cholera vaccine and provides an output which shows just how cost effective the vaccine is.  In other words, the cost effectiveness of cholera vaccine depends on the situation where it is to be used.  Since each situation is different, the cost effectiveness will also be different.  Although the cost of the current cholera vaccine (Shanchol) is relatively fixed, future vaccines may be more or less expensive, so this also is taken into consideration.     
To use VICE, you will need to estimate the values for the different variable and enter them into the calculator.  In some cases you will know the values, in others; you will need to provide your best estimate or a likely probability.  The following tables will provide some guidance as to reasonable numbers you may want to enter depending on the situation.  VICE assumes that the number of people you want to protect is 100,000. If this is not the correct number, you will need to make an adjustment for the total population. This will change the costs, costs averted, and total DALYs, cases, and deaths averted but </t>
    </r>
    <r>
      <rPr>
        <i/>
        <sz val="14"/>
        <color theme="1"/>
        <rFont val="Calibri"/>
        <family val="2"/>
        <scheme val="minor"/>
      </rPr>
      <t xml:space="preserve">will not </t>
    </r>
    <r>
      <rPr>
        <sz val="14"/>
        <color theme="1"/>
        <rFont val="Calibri"/>
        <family val="2"/>
        <scheme val="minor"/>
      </rPr>
      <t xml:space="preserve">change the ratio of cost to DALY, cases, and deaths averted.  
</t>
    </r>
  </si>
  <si>
    <t>what proportion of the population is in group 2?....................................</t>
  </si>
  <si>
    <t>what proportion of the population is in group 3?....................................</t>
  </si>
  <si>
    <t>what proportion of the population is in group 4?....................................</t>
  </si>
  <si>
    <t xml:space="preserve">  Weighted by Population Distribution</t>
  </si>
  <si>
    <t xml:space="preserve">What is the average life expectancy (in years) after vaccination for a person at risk for cholera.  If you have defined groups by age, then the children will have a longer life expectancy than the adults.  If you have only one only one group, you can use an average life expectancy of 40 years.  </t>
  </si>
  <si>
    <t>Cost per Death Averted</t>
  </si>
  <si>
    <t>Cost/Death</t>
  </si>
  <si>
    <t>As a default, we put everyone in group one, but you can divide the population into different groups if this is more appropriate. The total distribution between groups should be 100%. If it is not, the 'Total' cost per DALY and Death averted estimates will be wrong but the Group-specific estimates remain correct.</t>
  </si>
  <si>
    <t>Welcome! This Excel Document, called VICE is a dynamic Cost-Effectiveness evaluation tool to investigate vaccination strategies including mass and targeted vaccination campaigns.</t>
  </si>
  <si>
    <t>This framework uses Disability Adjusted Life Years (DALYs) to compare the costs and health outcomes associated with vaccination campaigns. According to international conventions, the Cost-Effectiveness Ratio will be the Net Cost to DALYs Averted. Please continue reading to learn more about each tab.</t>
  </si>
  <si>
    <t>This tab is the Command Center. All of the variables that influence the Cost-Effectiveness Ratio (cost and health related) can be changed here with the changes reflected in the output. One of the goals of this model is to evaluate vaccination campaign targeting strategies. For this reason, the parameters have been subdivided to allow the user to specify unequal values for the variables related to the target population. These include Incidence, Case Fatality Ratio, Life Expectancy, and the overall Population Distribution. The current format can handle up to 4 different subpopulations (Groups)</t>
  </si>
  <si>
    <t xml:space="preserve">This tab displays the primary outcomes that change dynamically with the input. These outcomes are Net Costs, Cases, Deaths, and DALYs Averted; and the Costs per Case, Death, and DALY. </t>
  </si>
  <si>
    <t>One question that policy-makers, researchers, or other public health officials may have is under what conditions is a vaccination campaign is Cost-Effective. This tab is intended to help answer that question. The Cost-Effectiveness Ratio can be manipulated algebraically to solve for the Vaccine Cost, Vaccine Effectiveness, Incidence, and Case Fatality Ratio at which a vaccination campaign is Cost-Effective. The Figures and Charts that accompany this analysis may be illustrative in understanding the interaction between Parameters and vaccination targeting strategies.</t>
  </si>
  <si>
    <t>Column1</t>
  </si>
  <si>
    <t>Column2</t>
  </si>
  <si>
    <t>Cost Effective2</t>
  </si>
  <si>
    <t>Very Cost Effective3</t>
  </si>
  <si>
    <t>Cost2</t>
  </si>
  <si>
    <t>Column3</t>
  </si>
  <si>
    <t>Column4</t>
  </si>
  <si>
    <t>Column5</t>
  </si>
  <si>
    <t>Column6</t>
  </si>
  <si>
    <t>Column7</t>
  </si>
  <si>
    <t>Column8</t>
  </si>
  <si>
    <t>Column9</t>
  </si>
  <si>
    <t>Column10</t>
  </si>
  <si>
    <t>Column11</t>
  </si>
  <si>
    <t>Column12</t>
  </si>
  <si>
    <t>Column13</t>
  </si>
  <si>
    <t>Column14</t>
  </si>
  <si>
    <t>Column15</t>
  </si>
  <si>
    <t>Column16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</si>
</sst>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0.0"/>
    <numFmt numFmtId="165" formatCode="_([$$-409]* #,##0.00_);_([$$-409]* \(#,##0.00\);_([$$-409]* &quot;-&quot;??_);_(@_)"/>
    <numFmt numFmtId="166" formatCode="0.0000"/>
    <numFmt numFmtId="167" formatCode="0.0%"/>
    <numFmt numFmtId="168" formatCode="_(* #,##0_);_(* \(#,##0\);_(* &quot;-&quot;??_);_(@_)"/>
    <numFmt numFmtId="169" formatCode="0.000"/>
    <numFmt numFmtId="170" formatCode="_(* #,##0.000_);_(* \(#,##0.000\);_(* &quot;-&quot;???_);_(@_)"/>
    <numFmt numFmtId="171" formatCode="0.0000%"/>
    <numFmt numFmtId="172" formatCode="_(* #,##0.0000_);_(* \(#,##0.0000\);_(* &quot;-&quot;??_);_(@_)"/>
    <numFmt numFmtId="173" formatCode="_(&quot;$&quot;* #,##0.000_);_(&quot;$&quot;* \(#,##0.000\);_(&quot;$&quot;* &quot;-&quot;???_);_(@_)"/>
    <numFmt numFmtId="174" formatCode="0.0000000"/>
    <numFmt numFmtId="175" formatCode="0.00000000000000"/>
    <numFmt numFmtId="176" formatCode="_-&quot;$&quot;* #,##0.000_-;\-&quot;$&quot;* #,##0.000_-;_-&quot;$&quot;* &quot;-&quot;???_-;_-@_-"/>
  </numFmts>
  <fonts count="71" x14ac:knownFonts="1">
    <font>
      <sz val="12"/>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2"/>
      <color theme="0"/>
      <name val="Arial"/>
      <family val="2"/>
    </font>
    <font>
      <b/>
      <sz val="12"/>
      <color theme="1"/>
      <name val="Arial"/>
      <family val="2"/>
    </font>
    <font>
      <i/>
      <u/>
      <sz val="12"/>
      <color theme="1"/>
      <name val="Arial"/>
      <family val="2"/>
    </font>
    <font>
      <sz val="12"/>
      <color rgb="FF000000"/>
      <name val="Arial"/>
      <family val="2"/>
    </font>
    <font>
      <b/>
      <sz val="12"/>
      <name val="Arial"/>
      <family val="2"/>
    </font>
    <font>
      <sz val="12"/>
      <name val="Arial"/>
      <family val="2"/>
    </font>
    <font>
      <b/>
      <sz val="16"/>
      <color theme="1"/>
      <name val="Arial"/>
      <family val="2"/>
    </font>
    <font>
      <b/>
      <sz val="14"/>
      <color theme="1"/>
      <name val="Arial"/>
      <family val="2"/>
    </font>
    <font>
      <sz val="11"/>
      <color theme="1"/>
      <name val="Arial"/>
      <family val="2"/>
    </font>
    <font>
      <b/>
      <sz val="12"/>
      <color theme="1"/>
      <name val="Calibri"/>
      <family val="2"/>
      <scheme val="minor"/>
    </font>
    <font>
      <b/>
      <u/>
      <sz val="14"/>
      <color theme="1"/>
      <name val="Arial"/>
      <family val="2"/>
    </font>
    <font>
      <u/>
      <sz val="12"/>
      <color theme="1"/>
      <name val="Arial"/>
      <family val="2"/>
    </font>
    <font>
      <b/>
      <sz val="12"/>
      <color rgb="FF000000"/>
      <name val="Arial"/>
      <family val="2"/>
    </font>
    <font>
      <b/>
      <sz val="14"/>
      <color theme="0"/>
      <name val="Arial"/>
      <family val="2"/>
    </font>
    <font>
      <sz val="14"/>
      <color theme="1"/>
      <name val="Arial"/>
      <family val="2"/>
    </font>
    <font>
      <b/>
      <sz val="14"/>
      <name val="Arial"/>
      <family val="2"/>
    </font>
    <font>
      <u/>
      <sz val="14"/>
      <color theme="10"/>
      <name val="Arial"/>
      <family val="2"/>
    </font>
    <font>
      <sz val="12"/>
      <color theme="0"/>
      <name val="Calibri"/>
      <family val="2"/>
      <scheme val="minor"/>
    </font>
    <font>
      <b/>
      <i/>
      <sz val="11"/>
      <name val="Arial"/>
      <family val="2"/>
    </font>
    <font>
      <b/>
      <sz val="14"/>
      <color theme="1"/>
      <name val="Calibri"/>
      <family val="2"/>
      <scheme val="minor"/>
    </font>
    <font>
      <b/>
      <i/>
      <sz val="11"/>
      <color theme="1"/>
      <name val="Arial"/>
      <family val="2"/>
    </font>
    <font>
      <sz val="12"/>
      <name val="Calibri"/>
      <family val="2"/>
      <scheme val="minor"/>
    </font>
    <font>
      <b/>
      <i/>
      <sz val="12"/>
      <color theme="1"/>
      <name val="Arial"/>
      <family val="2"/>
    </font>
    <font>
      <b/>
      <i/>
      <sz val="18"/>
      <color theme="1"/>
      <name val="Arial"/>
      <family val="2"/>
    </font>
    <font>
      <i/>
      <sz val="12"/>
      <color theme="1"/>
      <name val="Arial"/>
      <family val="2"/>
    </font>
    <font>
      <b/>
      <i/>
      <sz val="10"/>
      <color theme="1"/>
      <name val="Arial"/>
      <family val="2"/>
    </font>
    <font>
      <b/>
      <i/>
      <sz val="12"/>
      <color rgb="FF2F2B20"/>
      <name val="Arial"/>
      <family val="2"/>
    </font>
    <font>
      <sz val="12"/>
      <color rgb="FF000000"/>
      <name val="Calibri"/>
      <family val="2"/>
      <scheme val="minor"/>
    </font>
    <font>
      <sz val="12"/>
      <color theme="1"/>
      <name val="Helvetica"/>
    </font>
    <font>
      <sz val="10"/>
      <name val="Arial"/>
      <family val="2"/>
    </font>
    <font>
      <b/>
      <sz val="14"/>
      <color theme="0"/>
      <name val="Calibri"/>
      <family val="2"/>
      <scheme val="minor"/>
    </font>
    <font>
      <sz val="14"/>
      <color theme="1"/>
      <name val="Calibri"/>
      <family val="2"/>
      <scheme val="minor"/>
    </font>
    <font>
      <b/>
      <sz val="14"/>
      <color theme="6" tint="-0.249977111117893"/>
      <name val="Calibri"/>
      <family val="2"/>
      <scheme val="minor"/>
    </font>
    <font>
      <b/>
      <sz val="14"/>
      <color theme="5"/>
      <name val="Calibri"/>
      <family val="2"/>
      <scheme val="minor"/>
    </font>
    <font>
      <i/>
      <sz val="14"/>
      <color theme="1"/>
      <name val="Calibri"/>
      <family val="2"/>
      <scheme val="minor"/>
    </font>
    <font>
      <sz val="16"/>
      <color theme="1"/>
      <name val="Calibri"/>
      <family val="2"/>
      <scheme val="minor"/>
    </font>
    <font>
      <i/>
      <sz val="12"/>
      <color theme="1"/>
      <name val="Calibri"/>
      <family val="2"/>
      <scheme val="minor"/>
    </font>
    <font>
      <sz val="18"/>
      <color theme="1"/>
      <name val="Arial"/>
      <family val="2"/>
    </font>
  </fonts>
  <fills count="23">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0"/>
        <bgColor rgb="FF000000"/>
      </patternFill>
    </fill>
    <fill>
      <patternFill patternType="solid">
        <fgColor theme="5"/>
        <bgColor rgb="FF000000"/>
      </patternFill>
    </fill>
    <fill>
      <patternFill patternType="solid">
        <fgColor theme="3"/>
        <bgColor indexed="64"/>
      </patternFill>
    </fill>
    <fill>
      <patternFill patternType="solid">
        <fgColor theme="7" tint="0.59999389629810485"/>
        <bgColor indexed="64"/>
      </patternFill>
    </fill>
    <fill>
      <patternFill patternType="solid">
        <fgColor rgb="FF660066"/>
        <bgColor indexed="64"/>
      </patternFill>
    </fill>
    <fill>
      <patternFill patternType="solid">
        <fgColor rgb="FFFFFFFF"/>
        <bgColor rgb="FF000000"/>
      </patternFill>
    </fill>
    <fill>
      <patternFill patternType="solid">
        <fgColor rgb="FFFFFF00"/>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bottom style="double">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style="thick">
        <color auto="1"/>
      </right>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s>
  <cellStyleXfs count="572">
    <xf numFmtId="0" fontId="0"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28"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4" fontId="27"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34">
    <xf numFmtId="0" fontId="0" fillId="0" borderId="0" xfId="0"/>
    <xf numFmtId="0" fontId="0" fillId="4" borderId="0" xfId="0" applyFill="1"/>
    <xf numFmtId="49" fontId="35" fillId="4" borderId="0" xfId="0" applyNumberFormat="1" applyFont="1" applyFill="1" applyAlignment="1">
      <alignment horizontal="right"/>
    </xf>
    <xf numFmtId="165" fontId="32" fillId="4" borderId="0" xfId="0" applyNumberFormat="1" applyFont="1" applyFill="1"/>
    <xf numFmtId="0" fontId="32" fillId="4" borderId="0" xfId="0" applyFont="1" applyFill="1"/>
    <xf numFmtId="0" fontId="32" fillId="4" borderId="0" xfId="0" applyFont="1" applyFill="1" applyAlignment="1">
      <alignment horizontal="right"/>
    </xf>
    <xf numFmtId="0" fontId="34" fillId="4" borderId="0" xfId="0" applyFont="1" applyFill="1"/>
    <xf numFmtId="0" fontId="32" fillId="4" borderId="4" xfId="0" applyFont="1" applyFill="1" applyBorder="1" applyAlignment="1">
      <alignment horizontal="right"/>
    </xf>
    <xf numFmtId="44" fontId="32" fillId="4" borderId="7" xfId="136" applyFont="1" applyFill="1" applyBorder="1"/>
    <xf numFmtId="2" fontId="32" fillId="4" borderId="7" xfId="53" applyNumberFormat="1" applyFont="1" applyFill="1" applyBorder="1"/>
    <xf numFmtId="10" fontId="32" fillId="4" borderId="7" xfId="53" applyNumberFormat="1" applyFont="1" applyFill="1" applyBorder="1"/>
    <xf numFmtId="0" fontId="34" fillId="4" borderId="0" xfId="0" applyFont="1" applyFill="1" applyAlignment="1">
      <alignment horizontal="right" vertical="center" wrapText="1"/>
    </xf>
    <xf numFmtId="0" fontId="32" fillId="4" borderId="0" xfId="0" applyFont="1" applyFill="1" applyAlignment="1">
      <alignment vertical="center" wrapText="1"/>
    </xf>
    <xf numFmtId="49" fontId="34" fillId="4" borderId="0" xfId="0" applyNumberFormat="1" applyFont="1" applyFill="1" applyAlignment="1">
      <alignment horizontal="right" vertical="center" wrapText="1"/>
    </xf>
    <xf numFmtId="0" fontId="40" fillId="4" borderId="0" xfId="0" applyFont="1" applyFill="1"/>
    <xf numFmtId="0" fontId="41" fillId="4" borderId="0" xfId="0" applyFont="1" applyFill="1"/>
    <xf numFmtId="49" fontId="34" fillId="4" borderId="0" xfId="0" applyNumberFormat="1" applyFont="1" applyFill="1" applyAlignment="1">
      <alignment horizontal="left"/>
    </xf>
    <xf numFmtId="9" fontId="32" fillId="4" borderId="0" xfId="53" applyFont="1" applyFill="1" applyBorder="1"/>
    <xf numFmtId="49" fontId="32" fillId="4" borderId="0" xfId="0" applyNumberFormat="1" applyFont="1" applyFill="1" applyAlignment="1">
      <alignment horizontal="right"/>
    </xf>
    <xf numFmtId="0" fontId="35" fillId="4" borderId="0" xfId="0" applyFont="1" applyFill="1"/>
    <xf numFmtId="49" fontId="35" fillId="4" borderId="0" xfId="0" applyNumberFormat="1" applyFont="1" applyFill="1" applyAlignment="1">
      <alignment horizontal="left"/>
    </xf>
    <xf numFmtId="49" fontId="32" fillId="4" borderId="3" xfId="0" applyNumberFormat="1" applyFont="1" applyFill="1" applyBorder="1" applyAlignment="1">
      <alignment horizontal="left"/>
    </xf>
    <xf numFmtId="165" fontId="32" fillId="4" borderId="3" xfId="0" applyNumberFormat="1" applyFont="1" applyFill="1" applyBorder="1"/>
    <xf numFmtId="165" fontId="32" fillId="4" borderId="1" xfId="0" applyNumberFormat="1" applyFont="1" applyFill="1" applyBorder="1"/>
    <xf numFmtId="168" fontId="32" fillId="4" borderId="2" xfId="122" applyNumberFormat="1" applyFont="1" applyFill="1" applyBorder="1"/>
    <xf numFmtId="0" fontId="42" fillId="4" borderId="0" xfId="0" applyFont="1" applyFill="1"/>
    <xf numFmtId="44" fontId="32" fillId="4" borderId="2" xfId="136" applyFont="1" applyFill="1" applyBorder="1"/>
    <xf numFmtId="0" fontId="43" fillId="4" borderId="0" xfId="0" applyFont="1" applyFill="1"/>
    <xf numFmtId="49" fontId="26" fillId="4" borderId="3" xfId="0" applyNumberFormat="1" applyFont="1" applyFill="1" applyBorder="1" applyAlignment="1">
      <alignment horizontal="left"/>
    </xf>
    <xf numFmtId="9" fontId="32" fillId="4" borderId="0" xfId="53" applyFont="1" applyFill="1"/>
    <xf numFmtId="2" fontId="0" fillId="4" borderId="0" xfId="0" applyNumberFormat="1" applyFill="1"/>
    <xf numFmtId="0" fontId="25" fillId="4" borderId="3" xfId="0" applyFont="1" applyFill="1" applyBorder="1"/>
    <xf numFmtId="0" fontId="32" fillId="4" borderId="0" xfId="0" applyFont="1" applyFill="1" applyProtection="1">
      <protection locked="0"/>
    </xf>
    <xf numFmtId="3" fontId="32" fillId="4" borderId="0" xfId="0" applyNumberFormat="1" applyFont="1" applyFill="1" applyProtection="1">
      <protection locked="0"/>
    </xf>
    <xf numFmtId="9" fontId="32" fillId="4" borderId="0" xfId="53" applyFont="1" applyFill="1" applyBorder="1" applyProtection="1">
      <protection locked="0"/>
    </xf>
    <xf numFmtId="165" fontId="32" fillId="4" borderId="0" xfId="0" applyNumberFormat="1" applyFont="1" applyFill="1" applyProtection="1">
      <protection locked="0"/>
    </xf>
    <xf numFmtId="1" fontId="32" fillId="4" borderId="0" xfId="53" applyNumberFormat="1" applyFont="1" applyFill="1" applyBorder="1" applyProtection="1">
      <protection locked="0"/>
    </xf>
    <xf numFmtId="167" fontId="32" fillId="4" borderId="0" xfId="53" applyNumberFormat="1" applyFont="1" applyFill="1" applyBorder="1" applyProtection="1">
      <protection locked="0"/>
    </xf>
    <xf numFmtId="44" fontId="32" fillId="4" borderId="0" xfId="136" applyFont="1" applyFill="1" applyBorder="1" applyProtection="1">
      <protection locked="0"/>
    </xf>
    <xf numFmtId="0" fontId="34" fillId="4" borderId="0" xfId="0" applyFont="1" applyFill="1" applyAlignment="1">
      <alignment horizontal="right"/>
    </xf>
    <xf numFmtId="44" fontId="25" fillId="4" borderId="2" xfId="136" applyFont="1" applyFill="1" applyBorder="1"/>
    <xf numFmtId="44" fontId="25" fillId="4" borderId="0" xfId="136" applyFont="1" applyFill="1" applyBorder="1"/>
    <xf numFmtId="9" fontId="25" fillId="4" borderId="0" xfId="53" applyFont="1" applyFill="1" applyBorder="1"/>
    <xf numFmtId="9" fontId="38" fillId="4" borderId="0" xfId="53" applyFont="1" applyFill="1" applyBorder="1"/>
    <xf numFmtId="44" fontId="44" fillId="4" borderId="0" xfId="53" applyNumberFormat="1" applyFont="1" applyFill="1" applyBorder="1"/>
    <xf numFmtId="9" fontId="44" fillId="4" borderId="0" xfId="53" applyFont="1" applyFill="1" applyBorder="1"/>
    <xf numFmtId="9" fontId="25" fillId="4" borderId="2" xfId="53" applyFont="1" applyFill="1" applyBorder="1"/>
    <xf numFmtId="9" fontId="25" fillId="4" borderId="3" xfId="53" applyFont="1" applyFill="1" applyBorder="1"/>
    <xf numFmtId="165" fontId="25" fillId="4" borderId="3" xfId="0" applyNumberFormat="1" applyFont="1" applyFill="1" applyBorder="1"/>
    <xf numFmtId="44" fontId="25" fillId="4" borderId="3" xfId="0" applyNumberFormat="1" applyFont="1" applyFill="1" applyBorder="1"/>
    <xf numFmtId="9" fontId="25" fillId="4" borderId="3" xfId="0" applyNumberFormat="1" applyFont="1" applyFill="1" applyBorder="1"/>
    <xf numFmtId="9" fontId="25" fillId="4" borderId="2" xfId="0" applyNumberFormat="1" applyFont="1" applyFill="1" applyBorder="1"/>
    <xf numFmtId="165" fontId="25" fillId="4" borderId="2" xfId="0" applyNumberFormat="1" applyFont="1" applyFill="1" applyBorder="1"/>
    <xf numFmtId="44" fontId="25" fillId="4" borderId="2" xfId="0" applyNumberFormat="1" applyFont="1" applyFill="1" applyBorder="1"/>
    <xf numFmtId="167" fontId="25" fillId="4" borderId="2" xfId="0" applyNumberFormat="1" applyFont="1" applyFill="1" applyBorder="1"/>
    <xf numFmtId="168" fontId="32" fillId="4" borderId="1" xfId="0" applyNumberFormat="1" applyFont="1" applyFill="1" applyBorder="1"/>
    <xf numFmtId="164" fontId="32" fillId="4" borderId="1" xfId="0" applyNumberFormat="1" applyFont="1" applyFill="1" applyBorder="1"/>
    <xf numFmtId="169" fontId="32" fillId="4" borderId="1" xfId="0" applyNumberFormat="1" applyFont="1" applyFill="1" applyBorder="1"/>
    <xf numFmtId="2" fontId="32" fillId="4" borderId="1" xfId="0" applyNumberFormat="1" applyFont="1" applyFill="1" applyBorder="1"/>
    <xf numFmtId="9" fontId="32" fillId="4" borderId="3" xfId="53" applyFont="1" applyFill="1" applyBorder="1"/>
    <xf numFmtId="168" fontId="32" fillId="4" borderId="3" xfId="0" applyNumberFormat="1" applyFont="1" applyFill="1" applyBorder="1"/>
    <xf numFmtId="164" fontId="32" fillId="4" borderId="3" xfId="0" applyNumberFormat="1" applyFont="1" applyFill="1" applyBorder="1"/>
    <xf numFmtId="2" fontId="32" fillId="4" borderId="3" xfId="0" applyNumberFormat="1" applyFont="1" applyFill="1" applyBorder="1"/>
    <xf numFmtId="170" fontId="0" fillId="4" borderId="0" xfId="0" applyNumberFormat="1" applyFill="1"/>
    <xf numFmtId="43" fontId="0" fillId="4" borderId="0" xfId="0" applyNumberFormat="1" applyFill="1"/>
    <xf numFmtId="44" fontId="36" fillId="9" borderId="0" xfId="136" applyFont="1" applyFill="1"/>
    <xf numFmtId="44" fontId="36" fillId="9" borderId="0" xfId="0" applyNumberFormat="1" applyFont="1" applyFill="1"/>
    <xf numFmtId="44" fontId="25" fillId="4" borderId="0" xfId="136" applyFont="1" applyFill="1" applyBorder="1" applyAlignment="1">
      <alignment horizontal="right"/>
    </xf>
    <xf numFmtId="44" fontId="25" fillId="4" borderId="0" xfId="0" applyNumberFormat="1" applyFont="1" applyFill="1" applyAlignment="1">
      <alignment horizontal="right"/>
    </xf>
    <xf numFmtId="9" fontId="32" fillId="4" borderId="2" xfId="53" applyFont="1" applyFill="1" applyBorder="1"/>
    <xf numFmtId="168" fontId="32" fillId="4" borderId="2" xfId="0" applyNumberFormat="1" applyFont="1" applyFill="1" applyBorder="1"/>
    <xf numFmtId="164" fontId="32" fillId="4" borderId="2" xfId="0" applyNumberFormat="1" applyFont="1" applyFill="1" applyBorder="1"/>
    <xf numFmtId="164" fontId="32" fillId="4" borderId="0" xfId="0" applyNumberFormat="1" applyFont="1" applyFill="1"/>
    <xf numFmtId="169" fontId="32" fillId="4" borderId="0" xfId="0" applyNumberFormat="1" applyFont="1" applyFill="1"/>
    <xf numFmtId="2" fontId="32" fillId="4" borderId="0" xfId="0" applyNumberFormat="1" applyFont="1" applyFill="1"/>
    <xf numFmtId="2" fontId="32" fillId="4" borderId="2" xfId="0" applyNumberFormat="1" applyFont="1" applyFill="1" applyBorder="1"/>
    <xf numFmtId="0" fontId="45" fillId="10" borderId="3" xfId="0" applyFont="1" applyFill="1" applyBorder="1" applyAlignment="1">
      <alignment horizontal="left"/>
    </xf>
    <xf numFmtId="0" fontId="34" fillId="7" borderId="3" xfId="0" applyFont="1" applyFill="1" applyBorder="1" applyAlignment="1">
      <alignment horizontal="left"/>
    </xf>
    <xf numFmtId="167" fontId="25" fillId="4" borderId="3" xfId="0" applyNumberFormat="1" applyFont="1" applyFill="1" applyBorder="1"/>
    <xf numFmtId="167" fontId="25" fillId="4" borderId="3" xfId="53" applyNumberFormat="1" applyFont="1" applyFill="1" applyBorder="1"/>
    <xf numFmtId="167" fontId="25" fillId="4" borderId="2" xfId="53" applyNumberFormat="1" applyFont="1" applyFill="1" applyBorder="1"/>
    <xf numFmtId="0" fontId="25" fillId="4" borderId="0" xfId="0" applyFont="1" applyFill="1"/>
    <xf numFmtId="44" fontId="25" fillId="4" borderId="0" xfId="0" applyNumberFormat="1" applyFont="1" applyFill="1"/>
    <xf numFmtId="0" fontId="33" fillId="4" borderId="0" xfId="0" applyFont="1" applyFill="1"/>
    <xf numFmtId="171" fontId="25" fillId="4" borderId="3" xfId="0" applyNumberFormat="1" applyFont="1" applyFill="1" applyBorder="1"/>
    <xf numFmtId="10" fontId="25" fillId="4" borderId="3" xfId="0" applyNumberFormat="1" applyFont="1" applyFill="1" applyBorder="1"/>
    <xf numFmtId="2" fontId="25" fillId="4" borderId="3" xfId="0" applyNumberFormat="1" applyFont="1" applyFill="1" applyBorder="1"/>
    <xf numFmtId="44" fontId="25" fillId="4" borderId="3" xfId="136" applyFont="1" applyFill="1" applyBorder="1"/>
    <xf numFmtId="10" fontId="25" fillId="4" borderId="2" xfId="0" applyNumberFormat="1" applyFont="1" applyFill="1" applyBorder="1"/>
    <xf numFmtId="2" fontId="25" fillId="4" borderId="2" xfId="0" applyNumberFormat="1" applyFont="1" applyFill="1" applyBorder="1"/>
    <xf numFmtId="49" fontId="24" fillId="4" borderId="3" xfId="0" applyNumberFormat="1" applyFont="1" applyFill="1" applyBorder="1" applyAlignment="1">
      <alignment horizontal="left"/>
    </xf>
    <xf numFmtId="0" fontId="47" fillId="4" borderId="0" xfId="0" applyFont="1" applyFill="1"/>
    <xf numFmtId="49" fontId="23" fillId="4" borderId="1" xfId="0" applyNumberFormat="1" applyFont="1" applyFill="1" applyBorder="1" applyAlignment="1">
      <alignment horizontal="left"/>
    </xf>
    <xf numFmtId="49" fontId="23" fillId="4" borderId="3" xfId="0" applyNumberFormat="1" applyFont="1" applyFill="1" applyBorder="1" applyAlignment="1">
      <alignment horizontal="left"/>
    </xf>
    <xf numFmtId="49" fontId="23" fillId="4" borderId="1" xfId="0" applyNumberFormat="1" applyFont="1" applyFill="1" applyBorder="1" applyAlignment="1">
      <alignment horizontal="right"/>
    </xf>
    <xf numFmtId="49" fontId="23" fillId="4" borderId="3" xfId="0" applyNumberFormat="1" applyFont="1" applyFill="1" applyBorder="1" applyAlignment="1">
      <alignment horizontal="right"/>
    </xf>
    <xf numFmtId="49" fontId="23" fillId="4" borderId="2" xfId="0" applyNumberFormat="1" applyFont="1" applyFill="1" applyBorder="1" applyAlignment="1">
      <alignment horizontal="right"/>
    </xf>
    <xf numFmtId="172" fontId="0" fillId="4" borderId="0" xfId="0" applyNumberFormat="1" applyFill="1"/>
    <xf numFmtId="9" fontId="25" fillId="4" borderId="1" xfId="53" applyFont="1" applyFill="1" applyBorder="1"/>
    <xf numFmtId="0" fontId="22" fillId="4" borderId="3" xfId="0" applyFont="1" applyFill="1" applyBorder="1"/>
    <xf numFmtId="9" fontId="22" fillId="4" borderId="3" xfId="53" applyFont="1" applyFill="1" applyBorder="1"/>
    <xf numFmtId="9" fontId="22" fillId="4" borderId="2" xfId="53" applyFont="1" applyFill="1" applyBorder="1"/>
    <xf numFmtId="44" fontId="0" fillId="4" borderId="0" xfId="0" applyNumberFormat="1" applyFill="1"/>
    <xf numFmtId="0" fontId="21" fillId="4" borderId="0" xfId="0" applyFont="1" applyFill="1"/>
    <xf numFmtId="0" fontId="38" fillId="4" borderId="0" xfId="136" applyNumberFormat="1" applyFont="1" applyFill="1"/>
    <xf numFmtId="0" fontId="19" fillId="4" borderId="0" xfId="0" applyFont="1" applyFill="1"/>
    <xf numFmtId="0" fontId="34" fillId="7" borderId="3" xfId="0" applyFont="1" applyFill="1" applyBorder="1"/>
    <xf numFmtId="0" fontId="38" fillId="4" borderId="0" xfId="0" applyFont="1" applyFill="1"/>
    <xf numFmtId="0" fontId="19" fillId="4" borderId="0" xfId="136" applyNumberFormat="1" applyFont="1" applyFill="1"/>
    <xf numFmtId="0" fontId="34" fillId="6" borderId="0" xfId="0" applyFont="1" applyFill="1"/>
    <xf numFmtId="0" fontId="34" fillId="6" borderId="1" xfId="0" applyFont="1" applyFill="1" applyBorder="1"/>
    <xf numFmtId="9" fontId="18" fillId="4" borderId="0" xfId="0" applyNumberFormat="1" applyFont="1" applyFill="1"/>
    <xf numFmtId="0" fontId="18" fillId="4" borderId="0" xfId="0" applyFont="1" applyFill="1"/>
    <xf numFmtId="49" fontId="17" fillId="4" borderId="3" xfId="0" applyNumberFormat="1" applyFont="1" applyFill="1" applyBorder="1" applyAlignment="1">
      <alignment horizontal="left"/>
    </xf>
    <xf numFmtId="0" fontId="17" fillId="4" borderId="0" xfId="0" applyFont="1" applyFill="1"/>
    <xf numFmtId="10" fontId="17" fillId="4" borderId="0" xfId="53" applyNumberFormat="1" applyFont="1" applyFill="1"/>
    <xf numFmtId="43" fontId="38" fillId="4" borderId="0" xfId="122" applyFont="1" applyFill="1" applyBorder="1"/>
    <xf numFmtId="0" fontId="50" fillId="13" borderId="1" xfId="0" applyFont="1" applyFill="1" applyBorder="1"/>
    <xf numFmtId="44" fontId="0" fillId="4" borderId="0" xfId="136" applyFont="1" applyFill="1"/>
    <xf numFmtId="2" fontId="16" fillId="4" borderId="1" xfId="0" applyNumberFormat="1" applyFont="1" applyFill="1" applyBorder="1"/>
    <xf numFmtId="0" fontId="16" fillId="4" borderId="3" xfId="0" applyFont="1" applyFill="1" applyBorder="1"/>
    <xf numFmtId="173" fontId="16" fillId="4" borderId="3" xfId="0" applyNumberFormat="1" applyFont="1" applyFill="1" applyBorder="1"/>
    <xf numFmtId="173" fontId="16" fillId="4" borderId="2" xfId="0" applyNumberFormat="1" applyFont="1" applyFill="1" applyBorder="1"/>
    <xf numFmtId="2" fontId="14" fillId="4" borderId="3" xfId="0" applyNumberFormat="1" applyFont="1" applyFill="1" applyBorder="1"/>
    <xf numFmtId="0" fontId="34" fillId="7" borderId="9" xfId="0" applyFont="1" applyFill="1" applyBorder="1" applyAlignment="1">
      <alignment horizontal="left"/>
    </xf>
    <xf numFmtId="44" fontId="25" fillId="4" borderId="6" xfId="136" applyFont="1" applyFill="1" applyBorder="1" applyAlignment="1">
      <alignment horizontal="right"/>
    </xf>
    <xf numFmtId="169" fontId="25" fillId="4" borderId="0" xfId="0" applyNumberFormat="1" applyFont="1" applyFill="1"/>
    <xf numFmtId="49" fontId="34" fillId="4" borderId="3" xfId="0" applyNumberFormat="1" applyFont="1" applyFill="1" applyBorder="1" applyAlignment="1">
      <alignment horizontal="right"/>
    </xf>
    <xf numFmtId="9" fontId="34" fillId="4" borderId="3" xfId="53" applyFont="1" applyFill="1" applyBorder="1"/>
    <xf numFmtId="0" fontId="34" fillId="4" borderId="3" xfId="0" applyFont="1" applyFill="1" applyBorder="1"/>
    <xf numFmtId="164" fontId="34" fillId="4" borderId="3" xfId="0" applyNumberFormat="1" applyFont="1" applyFill="1" applyBorder="1"/>
    <xf numFmtId="169" fontId="34" fillId="4" borderId="3" xfId="0" applyNumberFormat="1" applyFont="1" applyFill="1" applyBorder="1"/>
    <xf numFmtId="2" fontId="34" fillId="4" borderId="3" xfId="0" applyNumberFormat="1" applyFont="1" applyFill="1" applyBorder="1"/>
    <xf numFmtId="173" fontId="34" fillId="4" borderId="3" xfId="0" applyNumberFormat="1" applyFont="1" applyFill="1" applyBorder="1"/>
    <xf numFmtId="2" fontId="36" fillId="9" borderId="0" xfId="136" applyNumberFormat="1" applyFont="1" applyFill="1"/>
    <xf numFmtId="10" fontId="19" fillId="4" borderId="0" xfId="53" applyNumberFormat="1" applyFont="1" applyFill="1"/>
    <xf numFmtId="0" fontId="50" fillId="13" borderId="3" xfId="0" applyFont="1" applyFill="1" applyBorder="1"/>
    <xf numFmtId="0" fontId="13" fillId="4" borderId="4" xfId="0" applyFont="1" applyFill="1" applyBorder="1" applyAlignment="1">
      <alignment horizontal="right"/>
    </xf>
    <xf numFmtId="10" fontId="32" fillId="4" borderId="0" xfId="53" applyNumberFormat="1" applyFont="1" applyFill="1" applyBorder="1"/>
    <xf numFmtId="0" fontId="13" fillId="4" borderId="7" xfId="0" applyFont="1" applyFill="1" applyBorder="1" applyAlignment="1">
      <alignment horizontal="right"/>
    </xf>
    <xf numFmtId="43" fontId="32" fillId="4" borderId="0" xfId="0" applyNumberFormat="1" applyFont="1" applyFill="1"/>
    <xf numFmtId="0" fontId="46" fillId="4" borderId="0" xfId="0" applyFont="1" applyFill="1"/>
    <xf numFmtId="0" fontId="48" fillId="4" borderId="0" xfId="0" applyFont="1" applyFill="1"/>
    <xf numFmtId="44" fontId="32" fillId="4" borderId="0" xfId="136" applyFont="1" applyFill="1" applyBorder="1"/>
    <xf numFmtId="2" fontId="32" fillId="4" borderId="0" xfId="53" applyNumberFormat="1" applyFont="1" applyFill="1" applyBorder="1"/>
    <xf numFmtId="166" fontId="32" fillId="4" borderId="0" xfId="0" applyNumberFormat="1" applyFont="1" applyFill="1"/>
    <xf numFmtId="0" fontId="51" fillId="4" borderId="0" xfId="0" applyFont="1" applyFill="1"/>
    <xf numFmtId="0" fontId="52" fillId="4" borderId="0" xfId="0" applyFont="1" applyFill="1"/>
    <xf numFmtId="0" fontId="53" fillId="4" borderId="0" xfId="0" applyFont="1" applyFill="1"/>
    <xf numFmtId="0" fontId="49" fillId="4" borderId="0" xfId="466" applyFont="1" applyFill="1" applyBorder="1"/>
    <xf numFmtId="44" fontId="54" fillId="4" borderId="0" xfId="136" applyFont="1" applyFill="1" applyBorder="1"/>
    <xf numFmtId="0" fontId="12" fillId="4" borderId="3" xfId="0" applyFont="1" applyFill="1" applyBorder="1"/>
    <xf numFmtId="165" fontId="12" fillId="4" borderId="3" xfId="0" applyNumberFormat="1" applyFont="1" applyFill="1" applyBorder="1"/>
    <xf numFmtId="44" fontId="12" fillId="4" borderId="3" xfId="0" applyNumberFormat="1" applyFont="1" applyFill="1" applyBorder="1"/>
    <xf numFmtId="0" fontId="11" fillId="4" borderId="0" xfId="0" applyFont="1" applyFill="1"/>
    <xf numFmtId="165" fontId="32" fillId="4" borderId="5" xfId="0" applyNumberFormat="1" applyFont="1" applyFill="1" applyBorder="1"/>
    <xf numFmtId="167" fontId="32" fillId="4" borderId="7" xfId="53" applyNumberFormat="1" applyFont="1" applyFill="1" applyBorder="1"/>
    <xf numFmtId="0" fontId="11" fillId="4" borderId="0" xfId="0" applyFont="1" applyFill="1" applyAlignment="1">
      <alignment horizontal="left"/>
    </xf>
    <xf numFmtId="0" fontId="0" fillId="4" borderId="0" xfId="0" applyFill="1" applyAlignment="1">
      <alignment horizontal="left"/>
    </xf>
    <xf numFmtId="0" fontId="21" fillId="4" borderId="0" xfId="0" applyFont="1" applyFill="1" applyAlignment="1">
      <alignment horizontal="left"/>
    </xf>
    <xf numFmtId="0" fontId="47" fillId="4" borderId="0" xfId="0" applyFont="1" applyFill="1" applyAlignment="1">
      <alignment horizontal="left"/>
    </xf>
    <xf numFmtId="0" fontId="57" fillId="4" borderId="0" xfId="0" applyFont="1" applyFill="1"/>
    <xf numFmtId="0" fontId="58" fillId="4" borderId="2" xfId="0" applyFont="1" applyFill="1" applyBorder="1"/>
    <xf numFmtId="0" fontId="59" fillId="4" borderId="0" xfId="0" applyFont="1" applyFill="1" applyAlignment="1">
      <alignment horizontal="left" vertical="center"/>
    </xf>
    <xf numFmtId="0" fontId="59" fillId="4" borderId="0" xfId="0" applyFont="1" applyFill="1" applyAlignment="1">
      <alignment horizontal="left"/>
    </xf>
    <xf numFmtId="0" fontId="60" fillId="9" borderId="0" xfId="0" applyFont="1" applyFill="1" applyAlignment="1">
      <alignment horizontal="left"/>
    </xf>
    <xf numFmtId="49" fontId="9" fillId="4" borderId="3" xfId="0" applyNumberFormat="1" applyFont="1" applyFill="1" applyBorder="1"/>
    <xf numFmtId="49" fontId="32" fillId="4" borderId="0" xfId="0" applyNumberFormat="1" applyFont="1" applyFill="1"/>
    <xf numFmtId="0" fontId="9" fillId="4" borderId="3" xfId="0" applyFont="1" applyFill="1" applyBorder="1"/>
    <xf numFmtId="0" fontId="61" fillId="4" borderId="0" xfId="0" applyFont="1" applyFill="1"/>
    <xf numFmtId="0" fontId="10" fillId="4" borderId="3" xfId="0" applyFont="1" applyFill="1" applyBorder="1"/>
    <xf numFmtId="0" fontId="10" fillId="4" borderId="2" xfId="0" applyFont="1" applyFill="1" applyBorder="1"/>
    <xf numFmtId="0" fontId="32" fillId="4" borderId="3" xfId="0" applyFont="1" applyFill="1" applyBorder="1"/>
    <xf numFmtId="49" fontId="10" fillId="4" borderId="3" xfId="0" applyNumberFormat="1" applyFont="1" applyFill="1" applyBorder="1" applyAlignment="1">
      <alignment horizontal="left"/>
    </xf>
    <xf numFmtId="0" fontId="20" fillId="4" borderId="3" xfId="0" applyFont="1" applyFill="1" applyBorder="1"/>
    <xf numFmtId="0" fontId="8" fillId="4" borderId="3" xfId="0" applyFont="1" applyFill="1" applyBorder="1" applyAlignment="1">
      <alignment horizontal="right"/>
    </xf>
    <xf numFmtId="49" fontId="25" fillId="4" borderId="3" xfId="0" applyNumberFormat="1" applyFont="1" applyFill="1" applyBorder="1" applyAlignment="1">
      <alignment horizontal="right"/>
    </xf>
    <xf numFmtId="49" fontId="25" fillId="4" borderId="3" xfId="0" applyNumberFormat="1" applyFont="1" applyFill="1" applyBorder="1" applyAlignment="1">
      <alignment horizontal="left"/>
    </xf>
    <xf numFmtId="49" fontId="36" fillId="14" borderId="3" xfId="0" applyNumberFormat="1" applyFont="1" applyFill="1" applyBorder="1" applyAlignment="1">
      <alignment horizontal="left"/>
    </xf>
    <xf numFmtId="49" fontId="36" fillId="14" borderId="1" xfId="0" applyNumberFormat="1" applyFont="1" applyFill="1" applyBorder="1" applyAlignment="1">
      <alignment horizontal="right"/>
    </xf>
    <xf numFmtId="0" fontId="7" fillId="4" borderId="3" xfId="0" applyFont="1" applyFill="1" applyBorder="1"/>
    <xf numFmtId="0" fontId="34" fillId="4" borderId="0" xfId="0" applyFont="1" applyFill="1" applyAlignment="1">
      <alignment horizontal="center"/>
    </xf>
    <xf numFmtId="0" fontId="62" fillId="0" borderId="1" xfId="0" applyFont="1" applyBorder="1" applyAlignment="1">
      <alignment horizontal="center" wrapText="1"/>
    </xf>
    <xf numFmtId="168" fontId="0" fillId="0" borderId="1" xfId="122" applyNumberFormat="1" applyFont="1" applyBorder="1" applyAlignment="1">
      <alignment horizontal="center" wrapText="1"/>
    </xf>
    <xf numFmtId="168" fontId="62" fillId="0" borderId="1" xfId="122" applyNumberFormat="1" applyFont="1" applyBorder="1" applyAlignment="1">
      <alignment horizontal="center" wrapText="1"/>
    </xf>
    <xf numFmtId="44" fontId="62" fillId="0" borderId="1" xfId="136" applyFont="1" applyBorder="1" applyAlignment="1">
      <alignment horizontal="center" wrapText="1"/>
    </xf>
    <xf numFmtId="44" fontId="62" fillId="0" borderId="1" xfId="136" applyFont="1" applyFill="1" applyBorder="1" applyAlignment="1">
      <alignment horizontal="center" wrapText="1"/>
    </xf>
    <xf numFmtId="168" fontId="0" fillId="0" borderId="0" xfId="122" applyNumberFormat="1" applyFont="1" applyAlignment="1">
      <alignment horizontal="center"/>
    </xf>
    <xf numFmtId="2" fontId="0" fillId="0" borderId="0" xfId="0" applyNumberFormat="1"/>
    <xf numFmtId="168" fontId="0" fillId="0" borderId="0" xfId="122" applyNumberFormat="1" applyFont="1"/>
    <xf numFmtId="1" fontId="0" fillId="0" borderId="0" xfId="0" applyNumberFormat="1"/>
    <xf numFmtId="44" fontId="0" fillId="0" borderId="0" xfId="136" applyFont="1"/>
    <xf numFmtId="44" fontId="0" fillId="0" borderId="0" xfId="0" applyNumberFormat="1"/>
    <xf numFmtId="0" fontId="62" fillId="0" borderId="0" xfId="0" applyFont="1" applyAlignment="1">
      <alignment horizontal="center" wrapText="1"/>
    </xf>
    <xf numFmtId="168" fontId="0" fillId="0" borderId="0" xfId="122" applyNumberFormat="1" applyFont="1" applyBorder="1" applyAlignment="1">
      <alignment horizontal="center" wrapText="1"/>
    </xf>
    <xf numFmtId="168" fontId="62" fillId="0" borderId="0" xfId="122" applyNumberFormat="1" applyFont="1" applyBorder="1" applyAlignment="1">
      <alignment horizontal="center" wrapText="1"/>
    </xf>
    <xf numFmtId="44" fontId="62" fillId="0" borderId="0" xfId="136" applyFont="1" applyBorder="1" applyAlignment="1">
      <alignment horizontal="center" wrapText="1"/>
    </xf>
    <xf numFmtId="44" fontId="62" fillId="0" borderId="0" xfId="136" applyFont="1" applyFill="1" applyBorder="1" applyAlignment="1">
      <alignment horizontal="center" wrapText="1"/>
    </xf>
    <xf numFmtId="43" fontId="0" fillId="0" borderId="0" xfId="0" applyNumberFormat="1"/>
    <xf numFmtId="0" fontId="0" fillId="0" borderId="1" xfId="0" applyBorder="1"/>
    <xf numFmtId="0" fontId="62" fillId="0" borderId="0" xfId="0" applyFont="1" applyAlignment="1">
      <alignment horizontal="right" wrapText="1"/>
    </xf>
    <xf numFmtId="0" fontId="6" fillId="4" borderId="0" xfId="0" applyFont="1" applyFill="1" applyAlignment="1">
      <alignment horizontal="left"/>
    </xf>
    <xf numFmtId="0" fontId="15" fillId="4" borderId="13" xfId="0" applyFont="1" applyFill="1" applyBorder="1"/>
    <xf numFmtId="1" fontId="0" fillId="4" borderId="0" xfId="0" applyNumberFormat="1" applyFill="1"/>
    <xf numFmtId="0" fontId="0" fillId="4" borderId="1" xfId="0" applyFill="1" applyBorder="1"/>
    <xf numFmtId="1" fontId="0" fillId="4" borderId="1" xfId="0" applyNumberFormat="1" applyFill="1" applyBorder="1"/>
    <xf numFmtId="44" fontId="0" fillId="4" borderId="1" xfId="0" applyNumberFormat="1" applyFill="1" applyBorder="1"/>
    <xf numFmtId="44" fontId="0" fillId="4" borderId="3" xfId="0" applyNumberFormat="1" applyFill="1" applyBorder="1"/>
    <xf numFmtId="1" fontId="0" fillId="4" borderId="3" xfId="0" applyNumberFormat="1" applyFill="1" applyBorder="1"/>
    <xf numFmtId="1" fontId="0" fillId="4" borderId="2" xfId="0" applyNumberFormat="1" applyFill="1" applyBorder="1"/>
    <xf numFmtId="44" fontId="0" fillId="4" borderId="2" xfId="0" applyNumberFormat="1" applyFill="1" applyBorder="1"/>
    <xf numFmtId="166" fontId="62" fillId="0" borderId="1" xfId="0" applyNumberFormat="1" applyFont="1" applyBorder="1" applyAlignment="1">
      <alignment horizontal="center" wrapText="1"/>
    </xf>
    <xf numFmtId="166" fontId="62" fillId="0" borderId="0" xfId="0" applyNumberFormat="1" applyFont="1" applyAlignment="1">
      <alignment horizontal="right" wrapText="1"/>
    </xf>
    <xf numFmtId="166" fontId="0" fillId="0" borderId="0" xfId="0" applyNumberFormat="1"/>
    <xf numFmtId="2" fontId="0" fillId="0" borderId="1" xfId="0" applyNumberFormat="1" applyBorder="1"/>
    <xf numFmtId="2" fontId="0" fillId="0" borderId="0" xfId="136" applyNumberFormat="1" applyFont="1"/>
    <xf numFmtId="0" fontId="52" fillId="0" borderId="0" xfId="0" applyFont="1"/>
    <xf numFmtId="44" fontId="34" fillId="17" borderId="0" xfId="136" applyFont="1" applyFill="1"/>
    <xf numFmtId="0" fontId="5" fillId="4" borderId="0" xfId="0" applyFont="1" applyFill="1" applyAlignment="1">
      <alignment vertical="top"/>
    </xf>
    <xf numFmtId="0" fontId="34" fillId="4" borderId="0" xfId="0" applyFont="1" applyFill="1" applyAlignment="1">
      <alignment vertical="top"/>
    </xf>
    <xf numFmtId="169" fontId="18" fillId="4" borderId="0" xfId="0" applyNumberFormat="1" applyFont="1" applyFill="1"/>
    <xf numFmtId="175" fontId="0" fillId="4" borderId="0" xfId="0" applyNumberFormat="1" applyFill="1"/>
    <xf numFmtId="174" fontId="32" fillId="4" borderId="1" xfId="0" applyNumberFormat="1" applyFont="1" applyFill="1" applyBorder="1"/>
    <xf numFmtId="174" fontId="4" fillId="4" borderId="1" xfId="0" applyNumberFormat="1" applyFont="1" applyFill="1" applyBorder="1"/>
    <xf numFmtId="0" fontId="0" fillId="18" borderId="14" xfId="0" applyFill="1" applyBorder="1"/>
    <xf numFmtId="0" fontId="0" fillId="18" borderId="2" xfId="0" applyFill="1" applyBorder="1"/>
    <xf numFmtId="0" fontId="0" fillId="18" borderId="15" xfId="0" applyFill="1" applyBorder="1"/>
    <xf numFmtId="0" fontId="0" fillId="18" borderId="16" xfId="0" applyFill="1" applyBorder="1"/>
    <xf numFmtId="0" fontId="0" fillId="18" borderId="0" xfId="0" applyFill="1"/>
    <xf numFmtId="0" fontId="0" fillId="18" borderId="17" xfId="0" applyFill="1" applyBorder="1"/>
    <xf numFmtId="0" fontId="0" fillId="18" borderId="11" xfId="0" applyFill="1" applyBorder="1"/>
    <xf numFmtId="0" fontId="0" fillId="18" borderId="1" xfId="0" applyFill="1" applyBorder="1"/>
    <xf numFmtId="0" fontId="0" fillId="18" borderId="12" xfId="0" applyFill="1" applyBorder="1"/>
    <xf numFmtId="0" fontId="3" fillId="4" borderId="3" xfId="0" applyFont="1" applyFill="1" applyBorder="1" applyAlignment="1">
      <alignment horizontal="right"/>
    </xf>
    <xf numFmtId="49" fontId="40" fillId="4" borderId="0" xfId="0" applyNumberFormat="1" applyFont="1" applyFill="1" applyAlignment="1">
      <alignment horizontal="left"/>
    </xf>
    <xf numFmtId="165" fontId="3" fillId="4" borderId="0" xfId="0" applyNumberFormat="1" applyFont="1" applyFill="1" applyAlignment="1">
      <alignment horizontal="left"/>
    </xf>
    <xf numFmtId="0" fontId="3" fillId="4" borderId="0" xfId="0" applyFont="1" applyFill="1"/>
    <xf numFmtId="0" fontId="64" fillId="4" borderId="0" xfId="0" applyFont="1" applyFill="1"/>
    <xf numFmtId="168" fontId="34" fillId="21" borderId="5" xfId="122" applyNumberFormat="1" applyFont="1" applyFill="1" applyBorder="1" applyAlignment="1" applyProtection="1">
      <alignment horizontal="right"/>
      <protection locked="0"/>
    </xf>
    <xf numFmtId="0" fontId="32" fillId="4" borderId="18" xfId="0" applyFont="1" applyFill="1" applyBorder="1" applyProtection="1">
      <protection locked="0"/>
    </xf>
    <xf numFmtId="0" fontId="32" fillId="4" borderId="18" xfId="0" applyFont="1" applyFill="1" applyBorder="1"/>
    <xf numFmtId="44" fontId="34" fillId="19" borderId="20" xfId="136" applyFont="1" applyFill="1" applyBorder="1" applyAlignment="1" applyProtection="1">
      <alignment horizontal="left"/>
    </xf>
    <xf numFmtId="165" fontId="34" fillId="19" borderId="7" xfId="0" applyNumberFormat="1" applyFont="1" applyFill="1" applyBorder="1"/>
    <xf numFmtId="0" fontId="34" fillId="19" borderId="7" xfId="0" applyFont="1" applyFill="1" applyBorder="1"/>
    <xf numFmtId="0" fontId="34" fillId="0" borderId="0" xfId="0" applyFont="1" applyAlignment="1">
      <alignment horizontal="right"/>
    </xf>
    <xf numFmtId="9" fontId="34" fillId="19" borderId="7" xfId="53" applyFont="1" applyFill="1" applyBorder="1" applyProtection="1"/>
    <xf numFmtId="0" fontId="34" fillId="4" borderId="3" xfId="0" applyFont="1" applyFill="1" applyBorder="1" applyAlignment="1">
      <alignment horizontal="right"/>
    </xf>
    <xf numFmtId="9" fontId="34" fillId="19" borderId="19" xfId="53" applyFont="1" applyFill="1" applyBorder="1" applyProtection="1"/>
    <xf numFmtId="2" fontId="34" fillId="19" borderId="20" xfId="0" applyNumberFormat="1" applyFont="1" applyFill="1" applyBorder="1"/>
    <xf numFmtId="2" fontId="34" fillId="19" borderId="7" xfId="0" applyNumberFormat="1" applyFont="1" applyFill="1" applyBorder="1"/>
    <xf numFmtId="1" fontId="34" fillId="4" borderId="0" xfId="53" applyNumberFormat="1" applyFont="1" applyFill="1" applyBorder="1" applyProtection="1"/>
    <xf numFmtId="10" fontId="34" fillId="19" borderId="7" xfId="53" applyNumberFormat="1" applyFont="1" applyFill="1" applyBorder="1" applyProtection="1"/>
    <xf numFmtId="1" fontId="45" fillId="9" borderId="0" xfId="0" applyNumberFormat="1" applyFont="1" applyFill="1"/>
    <xf numFmtId="9" fontId="45" fillId="20" borderId="7" xfId="0" applyNumberFormat="1" applyFont="1" applyFill="1" applyBorder="1"/>
    <xf numFmtId="164" fontId="34" fillId="19" borderId="7" xfId="53" applyNumberFormat="1" applyFont="1" applyFill="1" applyBorder="1" applyProtection="1"/>
    <xf numFmtId="0" fontId="64" fillId="4" borderId="0" xfId="0" applyFont="1" applyFill="1" applyAlignment="1">
      <alignment horizontal="left" wrapText="1"/>
    </xf>
    <xf numFmtId="49" fontId="2" fillId="4" borderId="2" xfId="0" applyNumberFormat="1" applyFont="1" applyFill="1" applyBorder="1" applyAlignment="1">
      <alignment horizontal="left"/>
    </xf>
    <xf numFmtId="0" fontId="64" fillId="22" borderId="25" xfId="0" applyFont="1" applyFill="1" applyBorder="1"/>
    <xf numFmtId="0" fontId="64" fillId="22" borderId="26" xfId="0" applyFont="1" applyFill="1" applyBorder="1"/>
    <xf numFmtId="44" fontId="65" fillId="18" borderId="0" xfId="136" applyFont="1" applyFill="1" applyBorder="1" applyAlignment="1" applyProtection="1">
      <alignment horizontal="left"/>
      <protection locked="0"/>
    </xf>
    <xf numFmtId="3" fontId="65" fillId="18" borderId="0" xfId="0" applyNumberFormat="1" applyFont="1" applyFill="1" applyAlignment="1" applyProtection="1">
      <alignment horizontal="left"/>
      <protection locked="0"/>
    </xf>
    <xf numFmtId="0" fontId="65" fillId="18" borderId="0" xfId="0" applyFont="1" applyFill="1" applyAlignment="1" applyProtection="1">
      <alignment horizontal="left"/>
      <protection locked="0"/>
    </xf>
    <xf numFmtId="9" fontId="65" fillId="18" borderId="0" xfId="0" applyNumberFormat="1" applyFont="1" applyFill="1" applyAlignment="1" applyProtection="1">
      <alignment horizontal="left"/>
      <protection locked="0"/>
    </xf>
    <xf numFmtId="9" fontId="65" fillId="18" borderId="1" xfId="0" applyNumberFormat="1" applyFont="1" applyFill="1" applyBorder="1" applyAlignment="1" applyProtection="1">
      <alignment horizontal="left"/>
      <protection locked="0"/>
    </xf>
    <xf numFmtId="9" fontId="65" fillId="4" borderId="0" xfId="0" applyNumberFormat="1" applyFont="1" applyFill="1" applyAlignment="1">
      <alignment horizontal="left"/>
    </xf>
    <xf numFmtId="1" fontId="65" fillId="18" borderId="0" xfId="0" applyNumberFormat="1" applyFont="1" applyFill="1" applyAlignment="1" applyProtection="1">
      <alignment horizontal="left"/>
      <protection locked="0"/>
    </xf>
    <xf numFmtId="1" fontId="65" fillId="18" borderId="1" xfId="0" applyNumberFormat="1" applyFont="1" applyFill="1" applyBorder="1" applyAlignment="1" applyProtection="1">
      <alignment horizontal="left"/>
      <protection locked="0"/>
    </xf>
    <xf numFmtId="1" fontId="65" fillId="4" borderId="0" xfId="0" applyNumberFormat="1" applyFont="1" applyFill="1" applyAlignment="1">
      <alignment horizontal="left"/>
    </xf>
    <xf numFmtId="167" fontId="65" fillId="18" borderId="0" xfId="53" applyNumberFormat="1" applyFont="1" applyFill="1" applyBorder="1" applyAlignment="1" applyProtection="1">
      <alignment horizontal="left"/>
      <protection locked="0"/>
    </xf>
    <xf numFmtId="167" fontId="65" fillId="18" borderId="1" xfId="53" applyNumberFormat="1" applyFont="1" applyFill="1" applyBorder="1" applyAlignment="1" applyProtection="1">
      <alignment horizontal="left"/>
      <protection locked="0"/>
    </xf>
    <xf numFmtId="9" fontId="65" fillId="18" borderId="0" xfId="53" applyFont="1" applyFill="1" applyBorder="1" applyAlignment="1" applyProtection="1">
      <alignment horizontal="left"/>
      <protection locked="0"/>
    </xf>
    <xf numFmtId="9" fontId="65" fillId="18" borderId="1" xfId="53" applyFont="1" applyFill="1" applyBorder="1" applyAlignment="1" applyProtection="1">
      <alignment horizontal="left"/>
      <protection locked="0"/>
    </xf>
    <xf numFmtId="0" fontId="65" fillId="18" borderId="1" xfId="0" applyFont="1" applyFill="1" applyBorder="1" applyAlignment="1" applyProtection="1">
      <alignment horizontal="left"/>
      <protection locked="0"/>
    </xf>
    <xf numFmtId="43" fontId="32" fillId="4" borderId="3" xfId="122" applyFont="1" applyFill="1" applyBorder="1"/>
    <xf numFmtId="43" fontId="32" fillId="4" borderId="2" xfId="122" applyFont="1" applyFill="1" applyBorder="1"/>
    <xf numFmtId="0" fontId="34" fillId="4" borderId="2" xfId="0" applyFont="1" applyFill="1" applyBorder="1"/>
    <xf numFmtId="176" fontId="1" fillId="4" borderId="0" xfId="0" applyNumberFormat="1" applyFont="1" applyFill="1"/>
    <xf numFmtId="176" fontId="34" fillId="4" borderId="0" xfId="0" applyNumberFormat="1" applyFont="1" applyFill="1"/>
    <xf numFmtId="0" fontId="39" fillId="4" borderId="0" xfId="0" applyFont="1" applyFill="1" applyAlignment="1">
      <alignment horizontal="center"/>
    </xf>
    <xf numFmtId="0" fontId="56" fillId="4" borderId="10" xfId="0" applyFont="1" applyFill="1" applyBorder="1" applyAlignment="1">
      <alignment horizontal="center"/>
    </xf>
    <xf numFmtId="0" fontId="0" fillId="18" borderId="0" xfId="0" applyFill="1" applyAlignment="1">
      <alignment wrapText="1"/>
    </xf>
    <xf numFmtId="0" fontId="68" fillId="22" borderId="27" xfId="0" applyFont="1" applyFill="1" applyBorder="1" applyAlignment="1">
      <alignment horizontal="center"/>
    </xf>
    <xf numFmtId="0" fontId="0" fillId="18" borderId="14" xfId="0" applyFill="1" applyBorder="1" applyAlignment="1">
      <alignment wrapText="1"/>
    </xf>
    <xf numFmtId="0" fontId="0" fillId="18" borderId="2" xfId="0" applyFill="1" applyBorder="1" applyAlignment="1">
      <alignment wrapText="1"/>
    </xf>
    <xf numFmtId="0" fontId="64" fillId="4" borderId="0" xfId="0" applyFont="1" applyFill="1" applyAlignment="1">
      <alignment wrapText="1"/>
    </xf>
    <xf numFmtId="0" fontId="0" fillId="18" borderId="17" xfId="0" applyFill="1" applyBorder="1" applyAlignment="1">
      <alignment horizontal="left" wrapText="1"/>
    </xf>
    <xf numFmtId="0" fontId="39" fillId="3" borderId="10" xfId="0" applyFont="1" applyFill="1" applyBorder="1" applyAlignment="1">
      <alignment horizontal="center"/>
    </xf>
    <xf numFmtId="0" fontId="39" fillId="6" borderId="10" xfId="0" applyFont="1" applyFill="1" applyBorder="1" applyAlignment="1">
      <alignment horizontal="center"/>
    </xf>
    <xf numFmtId="0" fontId="40" fillId="17" borderId="0" xfId="0" applyFont="1" applyFill="1" applyAlignment="1">
      <alignment horizontal="center"/>
    </xf>
    <xf numFmtId="0" fontId="47" fillId="4" borderId="0" xfId="0" applyFont="1" applyFill="1" applyAlignment="1">
      <alignment wrapText="1"/>
    </xf>
    <xf numFmtId="0" fontId="70" fillId="4" borderId="0" xfId="0" applyFont="1" applyFill="1"/>
    <xf numFmtId="0" fontId="47" fillId="4" borderId="10" xfId="0" applyFont="1" applyFill="1" applyBorder="1"/>
    <xf numFmtId="0" fontId="47" fillId="4" borderId="10" xfId="0" applyFont="1" applyFill="1" applyBorder="1" applyAlignment="1">
      <alignment wrapText="1"/>
    </xf>
    <xf numFmtId="0" fontId="39" fillId="4" borderId="0" xfId="0" applyFont="1" applyFill="1"/>
    <xf numFmtId="0" fontId="64" fillId="4" borderId="21" xfId="0" applyFont="1" applyFill="1" applyBorder="1" applyAlignment="1">
      <alignment wrapText="1"/>
    </xf>
    <xf numFmtId="0" fontId="68" fillId="22" borderId="27" xfId="0" applyFont="1" applyFill="1" applyBorder="1"/>
    <xf numFmtId="44" fontId="64" fillId="22" borderId="22" xfId="136" applyFont="1" applyFill="1" applyBorder="1" applyAlignment="1"/>
    <xf numFmtId="44" fontId="64" fillId="22" borderId="27" xfId="136" applyFont="1" applyFill="1" applyBorder="1" applyAlignment="1"/>
    <xf numFmtId="44" fontId="64" fillId="0" borderId="27" xfId="136" applyFont="1" applyBorder="1" applyAlignment="1"/>
    <xf numFmtId="44" fontId="64" fillId="19" borderId="27" xfId="136" applyFont="1" applyFill="1" applyBorder="1" applyAlignment="1"/>
    <xf numFmtId="0" fontId="69" fillId="22" borderId="22" xfId="0" applyFont="1" applyFill="1" applyBorder="1"/>
    <xf numFmtId="0" fontId="69" fillId="22" borderId="23" xfId="0" applyFont="1" applyFill="1" applyBorder="1"/>
    <xf numFmtId="0" fontId="64" fillId="22" borderId="24" xfId="0" applyFont="1" applyFill="1" applyBorder="1"/>
    <xf numFmtId="0" fontId="1" fillId="4" borderId="1" xfId="0" applyFont="1" applyFill="1" applyBorder="1"/>
    <xf numFmtId="0" fontId="64" fillId="4" borderId="28" xfId="0" applyFont="1" applyFill="1" applyBorder="1" applyAlignment="1">
      <alignment vertical="top" wrapText="1"/>
    </xf>
    <xf numFmtId="0" fontId="10" fillId="12" borderId="4" xfId="0" applyFont="1" applyFill="1" applyBorder="1"/>
    <xf numFmtId="0" fontId="10" fillId="12" borderId="8" xfId="0" applyFont="1" applyFill="1" applyBorder="1"/>
    <xf numFmtId="0" fontId="7" fillId="12" borderId="29" xfId="0" applyFont="1" applyFill="1" applyBorder="1"/>
    <xf numFmtId="0" fontId="7" fillId="12" borderId="30" xfId="0" applyFont="1" applyFill="1" applyBorder="1"/>
    <xf numFmtId="0" fontId="39" fillId="6" borderId="10" xfId="0" applyFont="1" applyFill="1" applyBorder="1"/>
    <xf numFmtId="49" fontId="10" fillId="4" borderId="3" xfId="0" applyNumberFormat="1" applyFont="1" applyFill="1" applyBorder="1"/>
    <xf numFmtId="0" fontId="48" fillId="8" borderId="10" xfId="0" applyFont="1" applyFill="1" applyBorder="1"/>
    <xf numFmtId="0" fontId="59" fillId="4" borderId="0" xfId="0" applyFont="1" applyFill="1" applyAlignment="1">
      <alignment vertical="center"/>
    </xf>
    <xf numFmtId="0" fontId="59" fillId="4" borderId="0" xfId="0" applyFont="1" applyFill="1"/>
    <xf numFmtId="165" fontId="4" fillId="4" borderId="0" xfId="0" applyNumberFormat="1" applyFont="1" applyFill="1"/>
    <xf numFmtId="165" fontId="3" fillId="4" borderId="0" xfId="0" applyNumberFormat="1" applyFont="1" applyFill="1"/>
    <xf numFmtId="0" fontId="34" fillId="2" borderId="1" xfId="0" applyFont="1" applyFill="1" applyBorder="1"/>
    <xf numFmtId="49" fontId="34" fillId="15" borderId="2" xfId="0" applyNumberFormat="1" applyFont="1" applyFill="1" applyBorder="1" applyAlignment="1">
      <alignment horizontal="right"/>
    </xf>
    <xf numFmtId="9" fontId="34" fillId="15" borderId="2" xfId="53" applyFont="1" applyFill="1" applyBorder="1"/>
    <xf numFmtId="0" fontId="34" fillId="15" borderId="2" xfId="0" applyFont="1" applyFill="1" applyBorder="1"/>
    <xf numFmtId="164" fontId="34" fillId="15" borderId="2" xfId="0" applyNumberFormat="1" applyFont="1" applyFill="1" applyBorder="1"/>
    <xf numFmtId="169" fontId="34" fillId="15" borderId="2" xfId="0" applyNumberFormat="1" applyFont="1" applyFill="1" applyBorder="1"/>
    <xf numFmtId="2" fontId="34" fillId="15" borderId="2" xfId="0" applyNumberFormat="1" applyFont="1" applyFill="1" applyBorder="1"/>
    <xf numFmtId="173" fontId="34" fillId="15" borderId="2" xfId="0" applyNumberFormat="1" applyFont="1" applyFill="1" applyBorder="1"/>
    <xf numFmtId="0" fontId="0" fillId="15" borderId="2" xfId="0" applyFill="1" applyBorder="1"/>
    <xf numFmtId="0" fontId="34" fillId="8" borderId="1" xfId="0" applyFont="1" applyFill="1" applyBorder="1"/>
    <xf numFmtId="43" fontId="34" fillId="8" borderId="1" xfId="0" applyNumberFormat="1" applyFont="1" applyFill="1" applyBorder="1"/>
    <xf numFmtId="0" fontId="37" fillId="5" borderId="1" xfId="0" applyFont="1" applyFill="1" applyBorder="1"/>
    <xf numFmtId="2" fontId="37" fillId="5" borderId="1" xfId="53" applyNumberFormat="1" applyFont="1" applyFill="1" applyBorder="1"/>
    <xf numFmtId="0" fontId="34" fillId="5" borderId="1" xfId="0" applyFont="1" applyFill="1" applyBorder="1"/>
    <xf numFmtId="44" fontId="33" fillId="11" borderId="1" xfId="0" applyNumberFormat="1" applyFont="1" applyFill="1" applyBorder="1"/>
    <xf numFmtId="10" fontId="33" fillId="11" borderId="1" xfId="0" applyNumberFormat="1" applyFont="1" applyFill="1" applyBorder="1"/>
    <xf numFmtId="0" fontId="33" fillId="11" borderId="1" xfId="0" applyFont="1" applyFill="1" applyBorder="1"/>
    <xf numFmtId="0" fontId="63" fillId="16" borderId="0" xfId="0" applyFont="1" applyFill="1" applyAlignment="1">
      <alignment horizontal="left"/>
    </xf>
  </cellXfs>
  <cellStyles count="572">
    <cellStyle name="Comma" xfId="122" builtinId="3"/>
    <cellStyle name="Currency" xfId="136"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cellStyle name="Normal" xfId="0" builtinId="0"/>
    <cellStyle name="Percent" xfId="53" builtinId="5"/>
  </cellStyles>
  <dxfs count="116">
    <dxf>
      <numFmt numFmtId="34" formatCode="_(&quot;$&quot;* #,##0.00_);_(&quot;$&quot;* \(#,##0.00\);_(&quot;$&quot;* &quot;-&quot;??_);_(@_)"/>
      <fill>
        <patternFill patternType="solid">
          <fgColor indexed="64"/>
          <bgColor theme="0"/>
        </patternFill>
      </fill>
    </dxf>
    <dxf>
      <numFmt numFmtId="34" formatCode="_(&quot;$&quot;* #,##0.00_);_(&quot;$&quot;* \(#,##0.00\);_(&quot;$&quot;* &quot;-&quot;??_);_(@_)"/>
      <fill>
        <patternFill patternType="solid">
          <fgColor indexed="64"/>
          <bgColor theme="0"/>
        </patternFill>
      </fill>
    </dxf>
    <dxf>
      <numFmt numFmtId="34" formatCode="_(&quot;$&quot;* #,##0.00_);_(&quot;$&quot;* \(#,##0.00\);_(&quot;$&quot;* &quot;-&quot;??_);_(@_)"/>
      <fill>
        <patternFill patternType="solid">
          <fgColor indexed="64"/>
          <bgColor theme="0"/>
        </patternFill>
      </fill>
    </dxf>
    <dxf>
      <font>
        <b val="0"/>
        <i val="0"/>
        <strike val="0"/>
        <condense val="0"/>
        <extend val="0"/>
        <outline val="0"/>
        <shadow val="0"/>
        <u val="none"/>
        <vertAlign val="baseline"/>
        <sz val="12"/>
        <color theme="1"/>
        <name val="Calibri"/>
        <family val="2"/>
        <scheme val="minor"/>
      </font>
      <fill>
        <patternFill patternType="solid">
          <fgColor indexed="64"/>
          <bgColor theme="0"/>
        </patternFill>
      </fill>
    </dxf>
    <dxf>
      <font>
        <b val="0"/>
        <i val="0"/>
        <strike val="0"/>
        <condense val="0"/>
        <extend val="0"/>
        <outline val="0"/>
        <shadow val="0"/>
        <u val="none"/>
        <vertAlign val="baseline"/>
        <sz val="12"/>
        <color theme="1"/>
        <name val="Calibri"/>
        <family val="2"/>
        <scheme val="minor"/>
      </font>
      <fill>
        <patternFill patternType="solid">
          <fgColor indexed="64"/>
          <bgColor theme="0"/>
        </patternFill>
      </fill>
    </dxf>
    <dxf>
      <font>
        <b val="0"/>
        <i val="0"/>
        <strike val="0"/>
        <condense val="0"/>
        <extend val="0"/>
        <outline val="0"/>
        <shadow val="0"/>
        <u val="none"/>
        <vertAlign val="baseline"/>
        <sz val="12"/>
        <color theme="1"/>
        <name val="Calibri"/>
        <family val="2"/>
        <scheme val="minor"/>
      </font>
      <fill>
        <patternFill patternType="solid">
          <fgColor indexed="64"/>
          <bgColor theme="0"/>
        </patternFill>
      </fill>
    </dxf>
    <dxf>
      <font>
        <b val="0"/>
        <i val="0"/>
        <strike val="0"/>
        <condense val="0"/>
        <extend val="0"/>
        <outline val="0"/>
        <shadow val="0"/>
        <u val="none"/>
        <vertAlign val="baseline"/>
        <sz val="12"/>
        <color theme="1"/>
        <name val="Calibri"/>
        <family val="2"/>
        <scheme val="minor"/>
      </font>
      <fill>
        <patternFill patternType="solid">
          <fgColor indexed="64"/>
          <bgColor theme="0"/>
        </patternFill>
      </fill>
    </dxf>
    <dxf>
      <fill>
        <patternFill patternType="solid">
          <fgColor indexed="64"/>
          <bgColor theme="0"/>
        </patternFill>
      </fill>
    </dxf>
    <dxf>
      <border outline="0">
        <bottom style="thin">
          <color auto="1"/>
        </bottom>
      </border>
    </dxf>
    <dxf>
      <font>
        <b val="0"/>
        <i val="0"/>
        <strike val="0"/>
        <condense val="0"/>
        <extend val="0"/>
        <outline val="0"/>
        <shadow val="0"/>
        <u val="none"/>
        <vertAlign val="baseline"/>
        <sz val="12"/>
        <color theme="0"/>
        <name val="Calibri"/>
        <family val="2"/>
        <scheme val="minor"/>
      </font>
      <fill>
        <patternFill patternType="solid">
          <fgColor indexed="64"/>
          <bgColor rgb="FF660066"/>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4"/>
        <color theme="1"/>
        <name val="Arial"/>
        <family val="2"/>
        <scheme val="none"/>
      </font>
      <fill>
        <patternFill patternType="solid">
          <fgColor indexed="64"/>
          <bgColor theme="5"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67" formatCode="0.0%"/>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4" formatCode="0.00%"/>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border outline="0">
        <top style="thin">
          <color auto="1"/>
        </top>
      </border>
    </dxf>
    <dxf>
      <border outline="0">
        <top style="thin">
          <color auto="1"/>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3"/>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167" formatCode="0.0%"/>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167" formatCode="0.0%"/>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167" formatCode="0.0%"/>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border diagonalUp="0" diagonalDown="0">
        <left/>
        <right/>
        <top style="thin">
          <color auto="1"/>
        </top>
        <bottom/>
        <vertical/>
        <horizontal/>
      </border>
    </dxf>
    <dxf>
      <border outline="0">
        <top style="thin">
          <color auto="1"/>
        </top>
      </border>
    </dxf>
    <dxf>
      <border outline="0">
        <bottom style="thin">
          <color auto="1"/>
        </bottom>
      </border>
    </dxf>
    <dxf>
      <font>
        <b/>
        <i val="0"/>
        <strike val="0"/>
        <condense val="0"/>
        <extend val="0"/>
        <outline val="0"/>
        <shadow val="0"/>
        <u val="none"/>
        <vertAlign val="baseline"/>
        <sz val="12"/>
        <color auto="1"/>
        <name val="Arial"/>
        <family val="2"/>
        <scheme val="none"/>
      </font>
      <fill>
        <patternFill patternType="solid">
          <fgColor indexed="64"/>
          <bgColor theme="9"/>
        </patternFill>
      </fill>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65" formatCode="_([$$-409]* #,##0.00_);_([$$-409]* \(#,##0.00\);_([$$-409]*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65" formatCode="_([$$-409]* #,##0.00_);_([$$-409]* \(#,##0.00\);_([$$-409]*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65" formatCode="_([$$-409]* #,##0.00_);_([$$-409]* \(#,##0.00\);_([$$-409]*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65" formatCode="_([$$-409]* #,##0.00_);_([$$-409]* \(#,##0.00\);_([$$-409]*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65" formatCode="_([$$-409]* #,##0.00_);_([$$-409]* \(#,##0.00\);_([$$-409]* &quot;-&quot;??_);_(@_)"/>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border diagonalUp="0" diagonalDown="0">
        <left/>
        <right/>
        <top style="thin">
          <color auto="1"/>
        </top>
        <bottom style="thin">
          <color auto="1"/>
        </bottom>
        <vertical/>
        <horizontal/>
      </border>
    </dxf>
    <dxf>
      <border outline="0">
        <top style="thin">
          <color auto="1"/>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7"/>
        </patternFill>
      </fill>
    </dxf>
    <dxf>
      <numFmt numFmtId="34" formatCode="_(&quot;$&quot;* #,##0.00_);_(&quot;$&quot;* \(#,##0.00\);_(&quot;$&quot;* &quot;-&quot;??_);_(@_)"/>
      <fill>
        <patternFill patternType="solid">
          <fgColor indexed="64"/>
          <bgColor theme="0"/>
        </patternFill>
      </fill>
    </dxf>
    <dxf>
      <numFmt numFmtId="34" formatCode="_(&quot;$&quot;* #,##0.00_);_(&quot;$&quot;* \(#,##0.00\);_(&quot;$&quot;* &quot;-&quot;??_);_(@_)"/>
      <fill>
        <patternFill patternType="solid">
          <fgColor indexed="64"/>
          <bgColor theme="0"/>
        </patternFill>
      </fill>
    </dxf>
    <dxf>
      <font>
        <b val="0"/>
        <i val="0"/>
        <strike val="0"/>
        <condense val="0"/>
        <extend val="0"/>
        <outline val="0"/>
        <shadow val="0"/>
        <u val="none"/>
        <vertAlign val="baseline"/>
        <sz val="12"/>
        <color rgb="FF000000"/>
        <name val="Arial"/>
        <family val="2"/>
        <scheme val="none"/>
      </font>
      <numFmt numFmtId="2" formatCode="0.00"/>
      <fill>
        <patternFill patternType="solid">
          <fgColor rgb="FF000000"/>
          <bgColor theme="0"/>
        </patternFill>
      </fill>
    </dxf>
    <dxf>
      <font>
        <b val="0"/>
        <i val="0"/>
        <strike val="0"/>
        <condense val="0"/>
        <extend val="0"/>
        <outline val="0"/>
        <shadow val="0"/>
        <u val="none"/>
        <vertAlign val="baseline"/>
        <sz val="12"/>
        <color rgb="FF000000"/>
        <name val="Arial"/>
        <family val="2"/>
        <scheme val="none"/>
      </font>
      <fill>
        <patternFill patternType="solid">
          <fgColor rgb="FF000000"/>
          <bgColor theme="0"/>
        </patternFill>
      </fill>
    </dxf>
    <dxf>
      <font>
        <b val="0"/>
        <i val="0"/>
        <strike val="0"/>
        <condense val="0"/>
        <extend val="0"/>
        <outline val="0"/>
        <shadow val="0"/>
        <u val="none"/>
        <vertAlign val="baseline"/>
        <sz val="12"/>
        <color rgb="FF000000"/>
        <name val="Arial"/>
        <family val="2"/>
        <scheme val="none"/>
      </font>
      <numFmt numFmtId="34" formatCode="_(&quot;$&quot;* #,##0.00_);_(&quot;$&quot;* \(#,##0.00\);_(&quot;$&quot;* &quot;-&quot;??_);_(@_)"/>
      <fill>
        <patternFill patternType="solid">
          <fgColor rgb="FF000000"/>
          <bgColor theme="0"/>
        </patternFill>
      </fill>
    </dxf>
    <dxf>
      <font>
        <b val="0"/>
        <i val="0"/>
        <strike val="0"/>
        <condense val="0"/>
        <extend val="0"/>
        <outline val="0"/>
        <shadow val="0"/>
        <u val="none"/>
        <vertAlign val="baseline"/>
        <sz val="12"/>
        <color rgb="FF000000"/>
        <name val="Arial"/>
        <family val="2"/>
        <scheme val="none"/>
      </font>
      <numFmt numFmtId="34" formatCode="_(&quot;$&quot;* #,##0.00_);_(&quot;$&quot;* \(#,##0.00\);_(&quot;$&quot;* &quot;-&quot;??_);_(@_)"/>
      <fill>
        <patternFill patternType="solid">
          <fgColor rgb="FF000000"/>
          <bgColor theme="0"/>
        </patternFill>
      </fill>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left style="medium">
          <color auto="1"/>
        </left>
        <right style="medium">
          <color auto="1"/>
        </right>
        <top/>
        <bottom style="medium">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rgb="FF000000"/>
        <name val="Arial"/>
        <family val="2"/>
        <scheme val="none"/>
      </font>
      <numFmt numFmtId="34" formatCode="_(&quot;$&quot;* #,##0.00_);_(&quot;$&quot;* \(#,##0.00\);_(&quot;$&quot;* &quot;-&quot;??_);_(@_)"/>
      <fill>
        <patternFill patternType="solid">
          <fgColor rgb="FF000000"/>
          <bgColor theme="0"/>
        </patternFill>
      </fill>
    </dxf>
    <dxf>
      <font>
        <b val="0"/>
        <i val="0"/>
        <strike val="0"/>
        <condense val="0"/>
        <extend val="0"/>
        <outline val="0"/>
        <shadow val="0"/>
        <u val="none"/>
        <vertAlign val="baseline"/>
        <sz val="12"/>
        <color theme="1"/>
        <name val="Arial"/>
        <family val="2"/>
        <scheme val="none"/>
      </font>
      <numFmt numFmtId="169" formatCode="0.000"/>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rgb="FF000000"/>
        <name val="Arial"/>
        <family val="2"/>
        <scheme val="none"/>
      </font>
      <fill>
        <patternFill patternType="solid">
          <fgColor rgb="FF000000"/>
          <bgColor theme="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76" formatCode="_-&quot;$&quot;* #,##0.000_-;\-&quot;$&quot;* #,##0.000_-;_-&quot;$&quot;* &quot;-&quot;???_-;_-@_-"/>
      <fill>
        <patternFill patternType="solid">
          <fgColor indexed="64"/>
          <bgColor theme="0"/>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73" formatCode="_(&quot;$&quot;* #,##0.000_);_(&quot;$&quot;* \(#,##0.000\);_(&quot;$&quot;* &quot;-&quot;???_);_(@_)"/>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border diagonalUp="0" diagonalDown="0">
        <left/>
        <right/>
        <top/>
        <bottom style="thin">
          <color auto="1"/>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border diagonalUp="0" diagonalDown="0">
        <left/>
        <right/>
        <top/>
        <bottom style="thin">
          <color auto="1"/>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border diagonalUp="0" diagonalDown="0">
        <left/>
        <right/>
        <top/>
        <bottom style="thin">
          <color auto="1"/>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border diagonalUp="0" diagonalDown="0">
        <left/>
        <right/>
        <top/>
        <bottom style="thin">
          <color auto="1"/>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74" formatCode="0.0000000"/>
      <fill>
        <patternFill patternType="solid">
          <fgColor indexed="64"/>
          <bgColor theme="0"/>
        </patternFill>
      </fill>
      <border diagonalUp="0" diagonalDown="0">
        <left/>
        <right/>
        <top/>
        <bottom style="thin">
          <color auto="1"/>
        </bottom>
        <vertical/>
        <horizontal/>
      </border>
    </dxf>
    <dxf>
      <font>
        <b val="0"/>
        <i val="0"/>
        <strike val="0"/>
        <condense val="0"/>
        <extend val="0"/>
        <outline val="0"/>
        <shadow val="0"/>
        <u val="none"/>
        <vertAlign val="baseline"/>
        <sz val="12"/>
        <color theme="1"/>
        <name val="Arial"/>
        <family val="2"/>
        <scheme val="none"/>
      </font>
      <numFmt numFmtId="169" formatCode="0.0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9" formatCode="0.000"/>
      <fill>
        <patternFill patternType="solid">
          <fgColor indexed="64"/>
          <bgColor theme="0"/>
        </patternFill>
      </fill>
      <border diagonalUp="0" diagonalDown="0">
        <left/>
        <right/>
        <top/>
        <bottom style="thin">
          <color auto="1"/>
        </bottom>
        <vertical/>
        <horizontal/>
      </border>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164" formatCode="0.0"/>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168" formatCode="_(* #,##0_);_(* \(#,##0\);_(* &quot;-&quot;??_);_(@_)"/>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top style="thin">
          <color auto="1"/>
        </top>
        <bottom/>
        <vertical/>
        <horizontal/>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vertical/>
        <horizontal/>
      </border>
    </dxf>
    <dxf>
      <border outline="0">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4"/>
        </patternFill>
      </fill>
    </dxf>
    <dxf>
      <font>
        <b val="0"/>
        <i val="0"/>
        <strike val="0"/>
        <condense val="0"/>
        <extend val="0"/>
        <outline val="0"/>
        <shadow val="0"/>
        <u val="none"/>
        <vertAlign val="baseline"/>
        <sz val="14"/>
        <color theme="1"/>
        <name val="Calibri"/>
        <family val="2"/>
        <scheme val="minor"/>
      </font>
      <fill>
        <patternFill patternType="solid">
          <fgColor indexed="64"/>
          <bgColor theme="0" tint="-4.9989318521683403E-2"/>
        </patternFill>
      </fill>
      <alignment horizontal="general" vertical="bottom" textRotation="0" wrapText="0" indent="0" justifyLastLine="0" shrinkToFit="0" readingOrder="0"/>
      <border diagonalUp="0" diagonalDown="0">
        <left style="medium">
          <color auto="1"/>
        </left>
        <right/>
        <top style="medium">
          <color auto="1"/>
        </top>
        <bottom style="medium">
          <color auto="1"/>
        </bottom>
        <vertical/>
        <horizontal/>
      </border>
    </dxf>
    <dxf>
      <font>
        <b val="0"/>
        <i val="0"/>
        <strike val="0"/>
        <condense val="0"/>
        <extend val="0"/>
        <outline val="0"/>
        <shadow val="0"/>
        <u val="none"/>
        <vertAlign val="baseline"/>
        <sz val="14"/>
        <color theme="1"/>
        <name val="Calibri"/>
        <family val="2"/>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left style="medium">
          <color auto="1"/>
        </left>
        <right/>
        <top style="medium">
          <color auto="1"/>
        </top>
        <bottom style="medium">
          <color auto="1"/>
        </bottom>
        <vertical/>
        <horizontal/>
      </border>
    </dxf>
    <dxf>
      <font>
        <b val="0"/>
        <i val="0"/>
        <strike val="0"/>
        <condense val="0"/>
        <extend val="0"/>
        <outline val="0"/>
        <shadow val="0"/>
        <u val="none"/>
        <vertAlign val="baseline"/>
        <sz val="14"/>
        <color theme="1"/>
        <name val="Calibri"/>
        <family val="2"/>
        <scheme val="minor"/>
      </font>
      <fill>
        <patternFill patternType="solid">
          <fgColor indexed="64"/>
          <bgColor theme="0" tint="-0.14999847407452621"/>
        </patternFill>
      </fill>
      <border diagonalUp="0" diagonalDown="0">
        <left style="medium">
          <color auto="1"/>
        </left>
        <right/>
        <top style="thin">
          <color auto="1"/>
        </top>
        <bottom style="thin">
          <color auto="1"/>
        </bottom>
        <vertical/>
        <horizontal/>
      </border>
    </dxf>
    <dxf>
      <border outline="0">
        <right style="medium">
          <color auto="1"/>
        </right>
      </border>
    </dxf>
  </dxfs>
  <tableStyles count="0" defaultTableStyle="TableStyleMedium9" defaultPivotStyle="PivotStyleMedium4"/>
  <colors>
    <mruColors>
      <color rgb="FFFFDC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92347565308849"/>
          <c:y val="2.66673228346457E-2"/>
          <c:w val="0.61725262230307898"/>
          <c:h val="0.798902230971128"/>
        </c:manualLayout>
      </c:layout>
      <c:areaChart>
        <c:grouping val="standard"/>
        <c:varyColors val="0"/>
        <c:ser>
          <c:idx val="2"/>
          <c:order val="0"/>
          <c:tx>
            <c:v>Very Cost-Effective ($/DALY = GDP)</c:v>
          </c:tx>
          <c:spPr>
            <a:solidFill>
              <a:schemeClr val="accent1">
                <a:alpha val="75000"/>
              </a:schemeClr>
            </a:solidFill>
            <a:ln w="47625">
              <a:noFill/>
            </a:ln>
            <a:effectLst/>
          </c:spPr>
          <c:val>
            <c:numRef>
              <c:f>Calculations!$D$84:$D$95</c:f>
              <c:numCache>
                <c:formatCode>0.00%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extLst>
            <c:ext xmlns:c16="http://schemas.microsoft.com/office/drawing/2014/chart" uri="{C3380CC4-5D6E-409C-BE32-E72D297353CC}">
              <c16:uniqueId val="{00000000-539D-0D40-A963-C7F3F4A4ED50}"/>
            </c:ext>
          </c:extLst>
        </c:ser>
        <c:ser>
          <c:idx val="1"/>
          <c:order val="1"/>
          <c:tx>
            <c:v>Cost Effective ($/DALY = 3GDP)</c:v>
          </c:tx>
          <c:spPr>
            <a:solidFill>
              <a:schemeClr val="tx2">
                <a:alpha val="75000"/>
              </a:schemeClr>
            </a:solidFill>
            <a:ln>
              <a:solidFill>
                <a:schemeClr val="tx2"/>
              </a:solidFill>
            </a:ln>
            <a:effectLst/>
          </c:spPr>
          <c:cat>
            <c:numRef>
              <c:f>Calculations!$A$84:$A$95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Calculations!$C$84:$C$95</c:f>
              <c:numCache>
                <c:formatCode>0.00%</c:formatCode>
                <c:ptCount val="12"/>
                <c:pt idx="0">
                  <c:v>0.1021342849501843</c:v>
                </c:pt>
                <c:pt idx="1">
                  <c:v>5.1067142475092149E-2</c:v>
                </c:pt>
                <c:pt idx="2">
                  <c:v>3.4044761650061435E-2</c:v>
                </c:pt>
                <c:pt idx="3">
                  <c:v>2.5533571237546075E-2</c:v>
                </c:pt>
                <c:pt idx="4">
                  <c:v>2.0426856990036858E-2</c:v>
                </c:pt>
                <c:pt idx="5">
                  <c:v>1.7022380825030718E-2</c:v>
                </c:pt>
                <c:pt idx="6">
                  <c:v>1.4590612135740614E-2</c:v>
                </c:pt>
                <c:pt idx="7">
                  <c:v>1.2766785618773037E-2</c:v>
                </c:pt>
                <c:pt idx="8">
                  <c:v>1.1348253883353811E-2</c:v>
                </c:pt>
                <c:pt idx="9">
                  <c:v>1.0213428495018429E-2</c:v>
                </c:pt>
                <c:pt idx="10">
                  <c:v>9.284934995471299E-3</c:v>
                </c:pt>
                <c:pt idx="11">
                  <c:v>8.5111904125153588E-3</c:v>
                </c:pt>
              </c:numCache>
            </c:numRef>
          </c:val>
          <c:extLst>
            <c:ext xmlns:c16="http://schemas.microsoft.com/office/drawing/2014/chart" uri="{C3380CC4-5D6E-409C-BE32-E72D297353CC}">
              <c16:uniqueId val="{00000001-539D-0D40-A963-C7F3F4A4ED50}"/>
            </c:ext>
          </c:extLst>
        </c:ser>
        <c:ser>
          <c:idx val="0"/>
          <c:order val="2"/>
          <c:tx>
            <c:v>Not Cost-Effective</c:v>
          </c:tx>
          <c:spPr>
            <a:solidFill>
              <a:schemeClr val="bg1">
                <a:lumMod val="65000"/>
              </a:schemeClr>
            </a:solidFill>
            <a:ln>
              <a:solidFill>
                <a:schemeClr val="bg1">
                  <a:lumMod val="50000"/>
                </a:schemeClr>
              </a:solidFill>
            </a:ln>
            <a:effectLst/>
          </c:spPr>
          <c:cat>
            <c:numRef>
              <c:f>Calculations!$A$84:$A$95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Calculations!$B$84:$B$95</c:f>
              <c:numCache>
                <c:formatCode>0.00%</c:formatCode>
                <c:ptCount val="12"/>
                <c:pt idx="0">
                  <c:v>3.4044761650061435E-2</c:v>
                </c:pt>
                <c:pt idx="1">
                  <c:v>1.7022380825030718E-2</c:v>
                </c:pt>
                <c:pt idx="2">
                  <c:v>1.1348253883353811E-2</c:v>
                </c:pt>
                <c:pt idx="3">
                  <c:v>8.5111904125153588E-3</c:v>
                </c:pt>
                <c:pt idx="4">
                  <c:v>6.8089523300122867E-3</c:v>
                </c:pt>
                <c:pt idx="5">
                  <c:v>5.6741269416769055E-3</c:v>
                </c:pt>
                <c:pt idx="6">
                  <c:v>4.8635373785802048E-3</c:v>
                </c:pt>
                <c:pt idx="7">
                  <c:v>4.2555952062576794E-3</c:v>
                </c:pt>
                <c:pt idx="8">
                  <c:v>3.7827512944512702E-3</c:v>
                </c:pt>
                <c:pt idx="9">
                  <c:v>3.4044761650061433E-3</c:v>
                </c:pt>
                <c:pt idx="10">
                  <c:v>3.0949783318237663E-3</c:v>
                </c:pt>
                <c:pt idx="11">
                  <c:v>2.8370634708384528E-3</c:v>
                </c:pt>
              </c:numCache>
            </c:numRef>
          </c:val>
          <c:extLst>
            <c:ext xmlns:c16="http://schemas.microsoft.com/office/drawing/2014/chart" uri="{C3380CC4-5D6E-409C-BE32-E72D297353CC}">
              <c16:uniqueId val="{00000002-539D-0D40-A963-C7F3F4A4ED50}"/>
            </c:ext>
          </c:extLst>
        </c:ser>
        <c:dLbls>
          <c:showLegendKey val="0"/>
          <c:showVal val="0"/>
          <c:showCatName val="0"/>
          <c:showSerName val="0"/>
          <c:showPercent val="0"/>
          <c:showBubbleSize val="0"/>
        </c:dLbls>
        <c:axId val="40713216"/>
        <c:axId val="40719488"/>
      </c:areaChart>
      <c:scatterChart>
        <c:scatterStyle val="lineMarker"/>
        <c:varyColors val="0"/>
        <c:ser>
          <c:idx val="3"/>
          <c:order val="3"/>
          <c:tx>
            <c:strRef>
              <c:f>'Charts and Tables'!$A$11</c:f>
              <c:strCache>
                <c:ptCount val="1"/>
                <c:pt idx="0">
                  <c:v>Group 1</c:v>
                </c:pt>
              </c:strCache>
            </c:strRef>
          </c:tx>
          <c:spPr>
            <a:ln w="47625">
              <a:noFill/>
            </a:ln>
          </c:spPr>
          <c:marker>
            <c:symbol val="circle"/>
            <c:size val="9"/>
            <c:spPr>
              <a:solidFill>
                <a:schemeClr val="accent5">
                  <a:lumMod val="60000"/>
                  <a:lumOff val="40000"/>
                </a:schemeClr>
              </a:solidFill>
              <a:ln>
                <a:solidFill>
                  <a:schemeClr val="accent5">
                    <a:lumMod val="60000"/>
                    <a:lumOff val="40000"/>
                  </a:schemeClr>
                </a:solidFill>
              </a:ln>
            </c:spPr>
          </c:marker>
          <c:dLbls>
            <c:spPr>
              <a:noFill/>
              <a:ln>
                <a:noFill/>
              </a:ln>
              <a:effectLst/>
            </c:spPr>
            <c:txPr>
              <a:bodyPr/>
              <a:lstStyle/>
              <a:p>
                <a:pPr>
                  <a:defRPr b="1"/>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and Tables'!$B$16</c:f>
              <c:numCache>
                <c:formatCode>0.00</c:formatCode>
                <c:ptCount val="1"/>
                <c:pt idx="0">
                  <c:v>2</c:v>
                </c:pt>
              </c:numCache>
            </c:numRef>
          </c:xVal>
          <c:yVal>
            <c:numRef>
              <c:f>'Charts and Tables'!$B$21</c:f>
              <c:numCache>
                <c:formatCode>0.00%</c:formatCode>
                <c:ptCount val="1"/>
                <c:pt idx="0">
                  <c:v>1.4999999999999999E-2</c:v>
                </c:pt>
              </c:numCache>
            </c:numRef>
          </c:yVal>
          <c:smooth val="0"/>
          <c:extLst>
            <c:ext xmlns:c16="http://schemas.microsoft.com/office/drawing/2014/chart" uri="{C3380CC4-5D6E-409C-BE32-E72D297353CC}">
              <c16:uniqueId val="{00000003-539D-0D40-A963-C7F3F4A4ED50}"/>
            </c:ext>
          </c:extLst>
        </c:ser>
        <c:ser>
          <c:idx val="4"/>
          <c:order val="4"/>
          <c:tx>
            <c:strRef>
              <c:f>'Charts and Tables'!$A$12</c:f>
              <c:strCache>
                <c:ptCount val="1"/>
                <c:pt idx="0">
                  <c:v>Group 2</c:v>
                </c:pt>
              </c:strCache>
            </c:strRef>
          </c:tx>
          <c:spPr>
            <a:ln w="47625">
              <a:noFill/>
            </a:ln>
          </c:spPr>
          <c:marker>
            <c:symbol val="circle"/>
            <c:size val="9"/>
            <c:spPr>
              <a:solidFill>
                <a:schemeClr val="accent2"/>
              </a:solidFill>
              <a:ln>
                <a:solidFill>
                  <a:schemeClr val="accent2"/>
                </a:solidFill>
              </a:ln>
            </c:spPr>
          </c:marker>
          <c:dLbls>
            <c:spPr>
              <a:noFill/>
              <a:ln>
                <a:noFill/>
              </a:ln>
              <a:effectLst/>
            </c:spPr>
            <c:txPr>
              <a:bodyPr/>
              <a:lstStyle/>
              <a:p>
                <a:pPr>
                  <a:defRPr b="1"/>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and Tables'!$B$17</c:f>
              <c:numCache>
                <c:formatCode>0.00</c:formatCode>
                <c:ptCount val="1"/>
                <c:pt idx="0">
                  <c:v>0</c:v>
                </c:pt>
              </c:numCache>
            </c:numRef>
          </c:xVal>
          <c:yVal>
            <c:numRef>
              <c:f>'Charts and Tables'!$B$22</c:f>
              <c:numCache>
                <c:formatCode>0.00%</c:formatCode>
                <c:ptCount val="1"/>
                <c:pt idx="0">
                  <c:v>0</c:v>
                </c:pt>
              </c:numCache>
            </c:numRef>
          </c:yVal>
          <c:smooth val="0"/>
          <c:extLst>
            <c:ext xmlns:c16="http://schemas.microsoft.com/office/drawing/2014/chart" uri="{C3380CC4-5D6E-409C-BE32-E72D297353CC}">
              <c16:uniqueId val="{00000004-539D-0D40-A963-C7F3F4A4ED50}"/>
            </c:ext>
          </c:extLst>
        </c:ser>
        <c:ser>
          <c:idx val="5"/>
          <c:order val="5"/>
          <c:tx>
            <c:strRef>
              <c:f>'Charts and Tables'!$A$13</c:f>
              <c:strCache>
                <c:ptCount val="1"/>
                <c:pt idx="0">
                  <c:v>Group 3</c:v>
                </c:pt>
              </c:strCache>
            </c:strRef>
          </c:tx>
          <c:spPr>
            <a:ln w="47625">
              <a:noFill/>
            </a:ln>
          </c:spPr>
          <c:dLbls>
            <c:spPr>
              <a:noFill/>
              <a:ln>
                <a:noFill/>
              </a:ln>
              <a:effectLst/>
            </c:spPr>
            <c:txPr>
              <a:bodyPr/>
              <a:lstStyle/>
              <a:p>
                <a:pPr>
                  <a:defRPr b="1"/>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and Tables'!$B$18</c:f>
              <c:numCache>
                <c:formatCode>0.00</c:formatCode>
                <c:ptCount val="1"/>
                <c:pt idx="0">
                  <c:v>0</c:v>
                </c:pt>
              </c:numCache>
            </c:numRef>
          </c:xVal>
          <c:yVal>
            <c:numRef>
              <c:f>'Charts and Tables'!$B$23</c:f>
              <c:numCache>
                <c:formatCode>0.00%</c:formatCode>
                <c:ptCount val="1"/>
                <c:pt idx="0">
                  <c:v>0</c:v>
                </c:pt>
              </c:numCache>
            </c:numRef>
          </c:yVal>
          <c:smooth val="0"/>
          <c:extLst>
            <c:ext xmlns:c16="http://schemas.microsoft.com/office/drawing/2014/chart" uri="{C3380CC4-5D6E-409C-BE32-E72D297353CC}">
              <c16:uniqueId val="{00000005-539D-0D40-A963-C7F3F4A4ED50}"/>
            </c:ext>
          </c:extLst>
        </c:ser>
        <c:ser>
          <c:idx val="6"/>
          <c:order val="6"/>
          <c:tx>
            <c:strRef>
              <c:f>'Charts and Tables'!$A$14</c:f>
              <c:strCache>
                <c:ptCount val="1"/>
                <c:pt idx="0">
                  <c:v>Group 4</c:v>
                </c:pt>
              </c:strCache>
            </c:strRef>
          </c:tx>
          <c:spPr>
            <a:ln w="47625">
              <a:noFill/>
            </a:ln>
          </c:spPr>
          <c:marker>
            <c:symbol val="circle"/>
            <c:size val="9"/>
            <c:spPr>
              <a:solidFill>
                <a:schemeClr val="accent4"/>
              </a:solidFill>
              <a:ln>
                <a:solidFill>
                  <a:schemeClr val="accent4"/>
                </a:solidFill>
              </a:ln>
            </c:spPr>
          </c:marker>
          <c:dLbls>
            <c:spPr>
              <a:noFill/>
              <a:ln>
                <a:noFill/>
              </a:ln>
              <a:effectLst/>
            </c:spPr>
            <c:txPr>
              <a:bodyPr/>
              <a:lstStyle/>
              <a:p>
                <a:pPr>
                  <a:defRPr b="1"/>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'Charts and Tables'!$B$19</c:f>
              <c:numCache>
                <c:formatCode>0.00</c:formatCode>
                <c:ptCount val="1"/>
                <c:pt idx="0">
                  <c:v>0</c:v>
                </c:pt>
              </c:numCache>
            </c:numRef>
          </c:xVal>
          <c:yVal>
            <c:numRef>
              <c:f>'Charts and Tables'!$B$24</c:f>
              <c:numCache>
                <c:formatCode>0.00%</c:formatCode>
                <c:ptCount val="1"/>
                <c:pt idx="0">
                  <c:v>0</c:v>
                </c:pt>
              </c:numCache>
            </c:numRef>
          </c:yVal>
          <c:smooth val="0"/>
          <c:extLst>
            <c:ext xmlns:c16="http://schemas.microsoft.com/office/drawing/2014/chart" uri="{C3380CC4-5D6E-409C-BE32-E72D297353CC}">
              <c16:uniqueId val="{00000006-539D-0D40-A963-C7F3F4A4ED50}"/>
            </c:ext>
          </c:extLst>
        </c:ser>
        <c:dLbls>
          <c:showLegendKey val="0"/>
          <c:showVal val="0"/>
          <c:showCatName val="0"/>
          <c:showSerName val="0"/>
          <c:showPercent val="0"/>
          <c:showBubbleSize val="0"/>
        </c:dLbls>
        <c:axId val="40713216"/>
        <c:axId val="40719488"/>
      </c:scatterChart>
      <c:catAx>
        <c:axId val="40713216"/>
        <c:scaling>
          <c:orientation val="minMax"/>
        </c:scaling>
        <c:delete val="0"/>
        <c:axPos val="b"/>
        <c:title>
          <c:tx>
            <c:rich>
              <a:bodyPr/>
              <a:lstStyle/>
              <a:p>
                <a:pPr>
                  <a:defRPr sz="2400"/>
                </a:pPr>
                <a:r>
                  <a:rPr lang="en-US" sz="2400"/>
                  <a:t>Incidence (per 1000 per year)</a:t>
                </a:r>
              </a:p>
            </c:rich>
          </c:tx>
          <c:overlay val="0"/>
        </c:title>
        <c:numFmt formatCode="General" sourceLinked="1"/>
        <c:majorTickMark val="out"/>
        <c:minorTickMark val="none"/>
        <c:tickLblPos val="nextTo"/>
        <c:crossAx val="40719488"/>
        <c:crosses val="autoZero"/>
        <c:auto val="1"/>
        <c:lblAlgn val="ctr"/>
        <c:lblOffset val="100"/>
        <c:tickLblSkip val="1"/>
        <c:noMultiLvlLbl val="1"/>
      </c:catAx>
      <c:valAx>
        <c:axId val="40719488"/>
        <c:scaling>
          <c:orientation val="minMax"/>
          <c:max val="0.1"/>
        </c:scaling>
        <c:delete val="0"/>
        <c:axPos val="l"/>
        <c:majorGridlines/>
        <c:title>
          <c:tx>
            <c:rich>
              <a:bodyPr rot="-5400000" vert="horz"/>
              <a:lstStyle/>
              <a:p>
                <a:pPr>
                  <a:defRPr sz="2400"/>
                </a:pPr>
                <a:r>
                  <a:rPr lang="en-US" sz="2400"/>
                  <a:t>Case Fatality Ratio (%)</a:t>
                </a:r>
              </a:p>
            </c:rich>
          </c:tx>
          <c:layout>
            <c:manualLayout>
              <c:xMode val="edge"/>
              <c:yMode val="edge"/>
              <c:x val="3.1046220756701399E-2"/>
              <c:y val="0.112571303587052"/>
            </c:manualLayout>
          </c:layout>
          <c:overlay val="0"/>
        </c:title>
        <c:numFmt formatCode="0%" sourceLinked="0"/>
        <c:majorTickMark val="out"/>
        <c:minorTickMark val="none"/>
        <c:tickLblPos val="nextTo"/>
        <c:crossAx val="40713216"/>
        <c:crosses val="autoZero"/>
        <c:crossBetween val="between"/>
        <c:majorUnit val="0.01"/>
      </c:valAx>
      <c:spPr>
        <a:solidFill>
          <a:schemeClr val="bg1">
            <a:alpha val="0"/>
          </a:schemeClr>
        </a:solidFill>
      </c:spPr>
    </c:plotArea>
    <c:legend>
      <c:legendPos val="r"/>
      <c:legendEntry>
        <c:idx val="3"/>
        <c:delete val="1"/>
      </c:legendEntry>
      <c:legendEntry>
        <c:idx val="4"/>
        <c:delete val="1"/>
      </c:legendEntry>
      <c:legendEntry>
        <c:idx val="5"/>
        <c:delete val="1"/>
      </c:legendEntry>
      <c:legendEntry>
        <c:idx val="6"/>
        <c:delete val="1"/>
      </c:legendEntry>
      <c:layout>
        <c:manualLayout>
          <c:xMode val="edge"/>
          <c:yMode val="edge"/>
          <c:x val="0.83574007220216595"/>
          <c:y val="0.34143263342082197"/>
          <c:w val="0.157039711191336"/>
          <c:h val="0.29791316710411198"/>
        </c:manualLayout>
      </c:layout>
      <c:overlay val="0"/>
    </c:legend>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89688734756531"/>
          <c:y val="3.0769247594050701E-2"/>
          <c:w val="0.61663193950936601"/>
          <c:h val="0.79925131233595803"/>
        </c:manualLayout>
      </c:layout>
      <c:scatterChart>
        <c:scatterStyle val="lineMarker"/>
        <c:varyColors val="0"/>
        <c:ser>
          <c:idx val="6"/>
          <c:order val="0"/>
          <c:tx>
            <c:v>Cost-Effective Threshold ($/DALY = 3GDP)</c:v>
          </c:tx>
          <c:spPr>
            <a:ln>
              <a:solidFill>
                <a:schemeClr val="tx2"/>
              </a:solidFill>
            </a:ln>
            <a:effectLst>
              <a:outerShdw blurRad="635000" dist="127000" dir="2700000" algn="tl" rotWithShape="0">
                <a:schemeClr val="tx1"/>
              </a:outerShdw>
            </a:effectLst>
          </c:spPr>
          <c:marker>
            <c:symbol val="none"/>
          </c:marker>
          <c:dLbls>
            <c:delete val="1"/>
          </c:dLbls>
          <c:xVal>
            <c:numRef>
              <c:f>(Calculations!$I$32,Calculations!$N$36)</c:f>
              <c:numCache>
                <c:formatCode>0.00</c:formatCode>
                <c:ptCount val="2"/>
                <c:pt idx="0" formatCode="0.0">
                  <c:v>0</c:v>
                </c:pt>
                <c:pt idx="1">
                  <c:v>331.6900205787552</c:v>
                </c:pt>
              </c:numCache>
            </c:numRef>
          </c:xVal>
          <c:yVal>
            <c:numRef>
              <c:f>(Calculations!$H$32,Calculations!$P$36)</c:f>
              <c:numCache>
                <c:formatCode>_("$"* #,##0.00_);_("$"* \(#,##0.00\);_("$"* "-"??_);_(@_)</c:formatCode>
                <c:ptCount val="2"/>
                <c:pt idx="0" formatCode="0.0">
                  <c:v>0</c:v>
                </c:pt>
                <c:pt idx="1">
                  <c:v>746302.54630219913</c:v>
                </c:pt>
              </c:numCache>
            </c:numRef>
          </c:yVal>
          <c:smooth val="0"/>
          <c:extLst>
            <c:ext xmlns:c16="http://schemas.microsoft.com/office/drawing/2014/chart" uri="{C3380CC4-5D6E-409C-BE32-E72D297353CC}">
              <c16:uniqueId val="{00000000-8BB0-754A-8047-266BF2E4F94D}"/>
            </c:ext>
          </c:extLst>
        </c:ser>
        <c:ser>
          <c:idx val="5"/>
          <c:order val="1"/>
          <c:tx>
            <c:v>Very Cost-Effective ($/DALY = GDP)</c:v>
          </c:tx>
          <c:spPr>
            <a:ln>
              <a:solidFill>
                <a:schemeClr val="tx2">
                  <a:lumMod val="60000"/>
                  <a:lumOff val="40000"/>
                </a:schemeClr>
              </a:solidFill>
            </a:ln>
            <a:effectLst>
              <a:outerShdw blurRad="508000" dist="127000" dir="2700000" algn="tl" rotWithShape="0">
                <a:schemeClr val="tx1"/>
              </a:outerShdw>
            </a:effectLst>
          </c:spPr>
          <c:marker>
            <c:symbol val="none"/>
          </c:marker>
          <c:dLbls>
            <c:delete val="1"/>
          </c:dLbls>
          <c:xVal>
            <c:numRef>
              <c:f>(Calculations!$H$32,Calculations!$N$36)</c:f>
              <c:numCache>
                <c:formatCode>0.00</c:formatCode>
                <c:ptCount val="2"/>
                <c:pt idx="0" formatCode="0.0">
                  <c:v>0</c:v>
                </c:pt>
                <c:pt idx="1">
                  <c:v>331.6900205787552</c:v>
                </c:pt>
              </c:numCache>
            </c:numRef>
          </c:xVal>
          <c:yVal>
            <c:numRef>
              <c:f>(Calculations!$I$32,Calculations!$O$36)</c:f>
              <c:numCache>
                <c:formatCode>_("$"* #,##0.00_);_("$"* \(#,##0.00\);_("$"* "-"??_);_(@_)</c:formatCode>
                <c:ptCount val="2"/>
                <c:pt idx="0" formatCode="0.0">
                  <c:v>0</c:v>
                </c:pt>
                <c:pt idx="1">
                  <c:v>248767.51543406639</c:v>
                </c:pt>
              </c:numCache>
            </c:numRef>
          </c:yVal>
          <c:smooth val="0"/>
          <c:extLst>
            <c:ext xmlns:c16="http://schemas.microsoft.com/office/drawing/2014/chart" uri="{C3380CC4-5D6E-409C-BE32-E72D297353CC}">
              <c16:uniqueId val="{00000001-8BB0-754A-8047-266BF2E4F94D}"/>
            </c:ext>
          </c:extLst>
        </c:ser>
        <c:ser>
          <c:idx val="4"/>
          <c:order val="2"/>
          <c:tx>
            <c:v>Overall</c:v>
          </c:tx>
          <c:spPr>
            <a:ln w="47625">
              <a:noFill/>
            </a:ln>
          </c:spPr>
          <c:marker>
            <c:symbol val="circle"/>
            <c:size val="9"/>
            <c:spPr>
              <a:solidFill>
                <a:schemeClr val="accent3"/>
              </a:solidFill>
              <a:ln>
                <a:solidFill>
                  <a:schemeClr val="accent3"/>
                </a:solidFill>
              </a:ln>
            </c:spPr>
          </c:marker>
          <c:dLbls>
            <c:dLbl>
              <c:idx val="0"/>
              <c:layout>
                <c:manualLayout>
                  <c:x val="-3.8125728417521702E-2"/>
                  <c:y val="-4.7091412742382197E-2"/>
                </c:manualLayout>
              </c:layout>
              <c:tx>
                <c:rich>
                  <a:bodyPr/>
                  <a:lstStyle/>
                  <a:p>
                    <a:r>
                      <a:rPr lang="en-US" b="1"/>
                      <a:t>Total</a:t>
                    </a:r>
                    <a:endParaRPr lang="en-US"/>
                  </a:p>
                </c:rich>
              </c:tx>
              <c:dLblPos val="r"/>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BB0-754A-8047-266BF2E4F94D}"/>
                </c:ext>
              </c:extLst>
            </c:dLbl>
            <c:spPr>
              <a:noFill/>
              <a:ln>
                <a:noFill/>
              </a:ln>
              <a:effectLst/>
            </c:spPr>
            <c:txPr>
              <a:bodyPr/>
              <a:lstStyle/>
              <a:p>
                <a:pPr>
                  <a:defRPr b="1"/>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Calculations!$R$31</c:f>
              <c:numCache>
                <c:formatCode>0.00</c:formatCode>
                <c:ptCount val="1"/>
                <c:pt idx="0">
                  <c:v>215.59851337619088</c:v>
                </c:pt>
              </c:numCache>
            </c:numRef>
          </c:xVal>
          <c:yVal>
            <c:numRef>
              <c:f>Calculations!$U$31</c:f>
              <c:numCache>
                <c:formatCode>_("$"* #,##0.000_);_("$"* \(#,##0.000\);_("$"* "-"???_);_(@_)</c:formatCode>
                <c:ptCount val="1"/>
                <c:pt idx="0">
                  <c:v>550500</c:v>
                </c:pt>
              </c:numCache>
            </c:numRef>
          </c:yVal>
          <c:smooth val="0"/>
          <c:extLst>
            <c:ext xmlns:c16="http://schemas.microsoft.com/office/drawing/2014/chart" uri="{C3380CC4-5D6E-409C-BE32-E72D297353CC}">
              <c16:uniqueId val="{00000003-8BB0-754A-8047-266BF2E4F94D}"/>
            </c:ext>
          </c:extLst>
        </c:ser>
        <c:ser>
          <c:idx val="0"/>
          <c:order val="3"/>
          <c:tx>
            <c:strRef>
              <c:f>'Charts and Tables'!$A$11</c:f>
              <c:strCache>
                <c:ptCount val="1"/>
                <c:pt idx="0">
                  <c:v>Group 1</c:v>
                </c:pt>
              </c:strCache>
            </c:strRef>
          </c:tx>
          <c:spPr>
            <a:ln w="47625">
              <a:noFill/>
            </a:ln>
          </c:spPr>
          <c:marker>
            <c:symbol val="circle"/>
            <c:size val="9"/>
            <c:spPr>
              <a:solidFill>
                <a:schemeClr val="accent5">
                  <a:lumMod val="60000"/>
                  <a:lumOff val="40000"/>
                </a:schemeClr>
              </a:solidFill>
              <a:ln>
                <a:solidFill>
                  <a:schemeClr val="accent5">
                    <a:lumMod val="60000"/>
                    <a:lumOff val="40000"/>
                  </a:schemeClr>
                </a:solidFill>
              </a:ln>
            </c:spPr>
          </c:marker>
          <c:dLbls>
            <c:spPr>
              <a:noFill/>
              <a:ln>
                <a:noFill/>
              </a:ln>
              <a:effectLst/>
            </c:spPr>
            <c:txPr>
              <a:bodyPr/>
              <a:lstStyle/>
              <a:p>
                <a:pPr>
                  <a:defRPr b="1"/>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Calculations!$R$27</c:f>
              <c:numCache>
                <c:formatCode>0.00</c:formatCode>
                <c:ptCount val="1"/>
                <c:pt idx="0">
                  <c:v>215.59851337619088</c:v>
                </c:pt>
              </c:numCache>
            </c:numRef>
          </c:xVal>
          <c:yVal>
            <c:numRef>
              <c:f>Calculations!$U$27</c:f>
              <c:numCache>
                <c:formatCode>_("$"* #,##0.000_);_("$"* \(#,##0.000\);_("$"* "-"???_);_(@_)</c:formatCode>
                <c:ptCount val="1"/>
                <c:pt idx="0">
                  <c:v>550500</c:v>
                </c:pt>
              </c:numCache>
            </c:numRef>
          </c:yVal>
          <c:smooth val="0"/>
          <c:extLst>
            <c:ext xmlns:c16="http://schemas.microsoft.com/office/drawing/2014/chart" uri="{C3380CC4-5D6E-409C-BE32-E72D297353CC}">
              <c16:uniqueId val="{00000004-8BB0-754A-8047-266BF2E4F94D}"/>
            </c:ext>
          </c:extLst>
        </c:ser>
        <c:ser>
          <c:idx val="1"/>
          <c:order val="4"/>
          <c:tx>
            <c:strRef>
              <c:f>'Charts and Tables'!$A$12</c:f>
              <c:strCache>
                <c:ptCount val="1"/>
                <c:pt idx="0">
                  <c:v>Group 2</c:v>
                </c:pt>
              </c:strCache>
            </c:strRef>
          </c:tx>
          <c:spPr>
            <a:ln w="47625">
              <a:noFill/>
            </a:ln>
          </c:spPr>
          <c:marker>
            <c:symbol val="circle"/>
            <c:size val="9"/>
            <c:spPr>
              <a:solidFill>
                <a:schemeClr val="accent2"/>
              </a:solidFill>
              <a:ln>
                <a:solidFill>
                  <a:schemeClr val="accent2"/>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Calculations!$R$28</c:f>
              <c:numCache>
                <c:formatCode>0.00</c:formatCode>
                <c:ptCount val="1"/>
                <c:pt idx="0">
                  <c:v>0</c:v>
                </c:pt>
              </c:numCache>
            </c:numRef>
          </c:xVal>
          <c:yVal>
            <c:numRef>
              <c:f>Calculations!$U$28</c:f>
              <c:numCache>
                <c:formatCode>_("$"* #,##0.000_);_("$"* \(#,##0.000\);_("$"* "-"???_);_(@_)</c:formatCode>
                <c:ptCount val="1"/>
                <c:pt idx="0">
                  <c:v>0</c:v>
                </c:pt>
              </c:numCache>
            </c:numRef>
          </c:yVal>
          <c:smooth val="0"/>
          <c:extLst>
            <c:ext xmlns:c16="http://schemas.microsoft.com/office/drawing/2014/chart" uri="{C3380CC4-5D6E-409C-BE32-E72D297353CC}">
              <c16:uniqueId val="{00000005-8BB0-754A-8047-266BF2E4F94D}"/>
            </c:ext>
          </c:extLst>
        </c:ser>
        <c:ser>
          <c:idx val="2"/>
          <c:order val="5"/>
          <c:tx>
            <c:strRef>
              <c:f>'Charts and Tables'!$A$13</c:f>
              <c:strCache>
                <c:ptCount val="1"/>
                <c:pt idx="0">
                  <c:v>Group 3</c:v>
                </c:pt>
              </c:strCache>
            </c:strRef>
          </c:tx>
          <c:spPr>
            <a:ln w="47625">
              <a:noFill/>
            </a:ln>
          </c:spPr>
          <c:marker>
            <c:symbol val="circle"/>
            <c:size val="9"/>
            <c:spPr>
              <a:solidFill>
                <a:schemeClr val="accent6"/>
              </a:solidFill>
              <a:ln>
                <a:solidFill>
                  <a:schemeClr val="accent6"/>
                </a:solidFill>
              </a:ln>
            </c:spPr>
          </c:marker>
          <c:dLbls>
            <c:spPr>
              <a:noFill/>
              <a:ln>
                <a:noFill/>
              </a:ln>
              <a:effectLst/>
            </c:spPr>
            <c:txPr>
              <a:bodyPr/>
              <a:lstStyle/>
              <a:p>
                <a:pPr>
                  <a:defRPr b="1"/>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Calculations!$R$29</c:f>
              <c:numCache>
                <c:formatCode>0.00</c:formatCode>
                <c:ptCount val="1"/>
                <c:pt idx="0">
                  <c:v>0</c:v>
                </c:pt>
              </c:numCache>
            </c:numRef>
          </c:xVal>
          <c:yVal>
            <c:numRef>
              <c:f>Calculations!$U$29</c:f>
              <c:numCache>
                <c:formatCode>_("$"* #,##0.000_);_("$"* \(#,##0.000\);_("$"* "-"???_);_(@_)</c:formatCode>
                <c:ptCount val="1"/>
                <c:pt idx="0">
                  <c:v>0</c:v>
                </c:pt>
              </c:numCache>
            </c:numRef>
          </c:yVal>
          <c:smooth val="0"/>
          <c:extLst>
            <c:ext xmlns:c16="http://schemas.microsoft.com/office/drawing/2014/chart" uri="{C3380CC4-5D6E-409C-BE32-E72D297353CC}">
              <c16:uniqueId val="{00000006-8BB0-754A-8047-266BF2E4F94D}"/>
            </c:ext>
          </c:extLst>
        </c:ser>
        <c:ser>
          <c:idx val="3"/>
          <c:order val="6"/>
          <c:tx>
            <c:strRef>
              <c:f>'Charts and Tables'!$A$14</c:f>
              <c:strCache>
                <c:ptCount val="1"/>
                <c:pt idx="0">
                  <c:v>Group 4</c:v>
                </c:pt>
              </c:strCache>
            </c:strRef>
          </c:tx>
          <c:spPr>
            <a:ln w="47625">
              <a:noFill/>
            </a:ln>
          </c:spPr>
          <c:marker>
            <c:symbol val="circle"/>
            <c:size val="9"/>
            <c:spPr>
              <a:solidFill>
                <a:schemeClr val="accent4"/>
              </a:solidFill>
              <a:ln>
                <a:solidFill>
                  <a:schemeClr val="accent4"/>
                </a:solidFill>
              </a:ln>
            </c:spPr>
          </c:marker>
          <c:dLbls>
            <c:spPr>
              <a:noFill/>
              <a:ln>
                <a:noFill/>
              </a:ln>
              <a:effectLst/>
            </c:spPr>
            <c:txPr>
              <a:bodyPr/>
              <a:lstStyle/>
              <a:p>
                <a:pPr>
                  <a:defRPr b="1"/>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Calculations!$R$30</c:f>
              <c:numCache>
                <c:formatCode>0.00</c:formatCode>
                <c:ptCount val="1"/>
                <c:pt idx="0">
                  <c:v>0</c:v>
                </c:pt>
              </c:numCache>
            </c:numRef>
          </c:xVal>
          <c:yVal>
            <c:numRef>
              <c:f>Calculations!$U$30</c:f>
              <c:numCache>
                <c:formatCode>_("$"* #,##0.000_);_("$"* \(#,##0.000\);_("$"* "-"???_);_(@_)</c:formatCode>
                <c:ptCount val="1"/>
                <c:pt idx="0">
                  <c:v>0</c:v>
                </c:pt>
              </c:numCache>
            </c:numRef>
          </c:yVal>
          <c:smooth val="0"/>
          <c:extLst>
            <c:ext xmlns:c16="http://schemas.microsoft.com/office/drawing/2014/chart" uri="{C3380CC4-5D6E-409C-BE32-E72D297353CC}">
              <c16:uniqueId val="{00000007-8BB0-754A-8047-266BF2E4F94D}"/>
            </c:ext>
          </c:extLst>
        </c:ser>
        <c:dLbls>
          <c:dLblPos val="b"/>
          <c:showLegendKey val="0"/>
          <c:showVal val="0"/>
          <c:showCatName val="0"/>
          <c:showSerName val="1"/>
          <c:showPercent val="0"/>
          <c:showBubbleSize val="0"/>
        </c:dLbls>
        <c:axId val="40797696"/>
        <c:axId val="40799616"/>
      </c:scatterChart>
      <c:valAx>
        <c:axId val="40797696"/>
        <c:scaling>
          <c:orientation val="minMax"/>
        </c:scaling>
        <c:delete val="0"/>
        <c:axPos val="b"/>
        <c:title>
          <c:tx>
            <c:rich>
              <a:bodyPr/>
              <a:lstStyle/>
              <a:p>
                <a:pPr>
                  <a:defRPr sz="2400"/>
                </a:pPr>
                <a:r>
                  <a:rPr lang="en-US" sz="2400"/>
                  <a:t>DALYs Averted</a:t>
                </a:r>
              </a:p>
            </c:rich>
          </c:tx>
          <c:overlay val="0"/>
        </c:title>
        <c:numFmt formatCode="0.0" sourceLinked="0"/>
        <c:majorTickMark val="out"/>
        <c:minorTickMark val="none"/>
        <c:tickLblPos val="nextTo"/>
        <c:crossAx val="40799616"/>
        <c:crosses val="autoZero"/>
        <c:crossBetween val="midCat"/>
      </c:valAx>
      <c:valAx>
        <c:axId val="40799616"/>
        <c:scaling>
          <c:orientation val="minMax"/>
        </c:scaling>
        <c:delete val="0"/>
        <c:axPos val="l"/>
        <c:majorGridlines/>
        <c:title>
          <c:tx>
            <c:rich>
              <a:bodyPr rot="-5400000" vert="horz"/>
              <a:lstStyle/>
              <a:p>
                <a:pPr>
                  <a:defRPr sz="2400"/>
                </a:pPr>
                <a:r>
                  <a:rPr lang="en-US" sz="2400"/>
                  <a:t>Net Vaccination Cost</a:t>
                </a:r>
              </a:p>
            </c:rich>
          </c:tx>
          <c:overlay val="0"/>
        </c:title>
        <c:numFmt formatCode="&quot;$&quot;#,##0.00" sourceLinked="0"/>
        <c:majorTickMark val="out"/>
        <c:minorTickMark val="none"/>
        <c:tickLblPos val="nextTo"/>
        <c:crossAx val="40797696"/>
        <c:crosses val="autoZero"/>
        <c:crossBetween val="midCat"/>
      </c:valAx>
      <c:spPr>
        <a:solidFill>
          <a:schemeClr val="bg1">
            <a:alpha val="0"/>
          </a:schemeClr>
        </a:solidFill>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82970664316779896"/>
          <c:y val="0.31830697755578302"/>
          <c:w val="0.16307314022570299"/>
          <c:h val="0.30008768294544902"/>
        </c:manualLayout>
      </c:layout>
      <c:overlay val="0"/>
    </c:legend>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7864899227046199"/>
          <c:y val="3.7036964129483797E-2"/>
          <c:w val="0.62642201834862399"/>
          <c:h val="0.79787292213473304"/>
        </c:manualLayout>
      </c:layout>
      <c:barChart>
        <c:barDir val="col"/>
        <c:grouping val="clustered"/>
        <c:varyColors val="0"/>
        <c:ser>
          <c:idx val="0"/>
          <c:order val="0"/>
          <c:tx>
            <c:strRef>
              <c:f>Calculations!$J$48</c:f>
              <c:strCache>
                <c:ptCount val="1"/>
                <c:pt idx="0">
                  <c:v>Cost per DALY</c:v>
                </c:pt>
              </c:strCache>
            </c:strRef>
          </c:tx>
          <c:invertIfNegative val="0"/>
          <c:dPt>
            <c:idx val="0"/>
            <c:invertIfNegative val="0"/>
            <c:bubble3D val="0"/>
            <c:spPr>
              <a:solidFill>
                <a:schemeClr val="accent5">
                  <a:lumMod val="60000"/>
                  <a:lumOff val="40000"/>
                </a:schemeClr>
              </a:solidFill>
            </c:spPr>
            <c:extLst>
              <c:ext xmlns:c16="http://schemas.microsoft.com/office/drawing/2014/chart" uri="{C3380CC4-5D6E-409C-BE32-E72D297353CC}">
                <c16:uniqueId val="{00000001-7BA6-EF49-AE4B-8E600E6F1F4B}"/>
              </c:ext>
            </c:extLst>
          </c:dPt>
          <c:dPt>
            <c:idx val="1"/>
            <c:invertIfNegative val="0"/>
            <c:bubble3D val="0"/>
            <c:spPr>
              <a:solidFill>
                <a:schemeClr val="accent2"/>
              </a:solidFill>
            </c:spPr>
            <c:extLst>
              <c:ext xmlns:c16="http://schemas.microsoft.com/office/drawing/2014/chart" uri="{C3380CC4-5D6E-409C-BE32-E72D297353CC}">
                <c16:uniqueId val="{00000003-7BA6-EF49-AE4B-8E600E6F1F4B}"/>
              </c:ext>
            </c:extLst>
          </c:dPt>
          <c:dPt>
            <c:idx val="2"/>
            <c:invertIfNegative val="0"/>
            <c:bubble3D val="0"/>
            <c:spPr>
              <a:solidFill>
                <a:schemeClr val="accent6"/>
              </a:solidFill>
            </c:spPr>
            <c:extLst>
              <c:ext xmlns:c16="http://schemas.microsoft.com/office/drawing/2014/chart" uri="{C3380CC4-5D6E-409C-BE32-E72D297353CC}">
                <c16:uniqueId val="{00000005-7BA6-EF49-AE4B-8E600E6F1F4B}"/>
              </c:ext>
            </c:extLst>
          </c:dPt>
          <c:dPt>
            <c:idx val="3"/>
            <c:invertIfNegative val="0"/>
            <c:bubble3D val="0"/>
            <c:spPr>
              <a:solidFill>
                <a:schemeClr val="accent4"/>
              </a:solidFill>
            </c:spPr>
            <c:extLst>
              <c:ext xmlns:c16="http://schemas.microsoft.com/office/drawing/2014/chart" uri="{C3380CC4-5D6E-409C-BE32-E72D297353CC}">
                <c16:uniqueId val="{00000007-7BA6-EF49-AE4B-8E600E6F1F4B}"/>
              </c:ext>
            </c:extLst>
          </c:dPt>
          <c:dPt>
            <c:idx val="4"/>
            <c:invertIfNegative val="0"/>
            <c:bubble3D val="0"/>
            <c:spPr>
              <a:solidFill>
                <a:schemeClr val="accent3"/>
              </a:solidFill>
            </c:spPr>
            <c:extLst>
              <c:ext xmlns:c16="http://schemas.microsoft.com/office/drawing/2014/chart" uri="{C3380CC4-5D6E-409C-BE32-E72D297353CC}">
                <c16:uniqueId val="{00000009-7BA6-EF49-AE4B-8E600E6F1F4B}"/>
              </c:ext>
            </c:extLst>
          </c:dPt>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Calculations!$G$50:$G$54</c:f>
              <c:strCache>
                <c:ptCount val="5"/>
                <c:pt idx="0">
                  <c:v>Group 1</c:v>
                </c:pt>
                <c:pt idx="1">
                  <c:v>Group 2</c:v>
                </c:pt>
                <c:pt idx="2">
                  <c:v>Group 3</c:v>
                </c:pt>
                <c:pt idx="3">
                  <c:v>Group 4</c:v>
                </c:pt>
                <c:pt idx="4">
                  <c:v>Total</c:v>
                </c:pt>
              </c:strCache>
            </c:strRef>
          </c:cat>
          <c:val>
            <c:numRef>
              <c:f>Calculations!$J$50:$J$54</c:f>
              <c:numCache>
                <c:formatCode>_("$"* #,##0.00_);_("$"* \(#,##0.00\);_("$"* "-"??_);_(@_)</c:formatCode>
                <c:ptCount val="5"/>
                <c:pt idx="0">
                  <c:v>2553.3571237546075</c:v>
                </c:pt>
                <c:pt idx="1">
                  <c:v>0</c:v>
                </c:pt>
                <c:pt idx="2">
                  <c:v>0</c:v>
                </c:pt>
                <c:pt idx="3">
                  <c:v>0</c:v>
                </c:pt>
                <c:pt idx="4">
                  <c:v>2553.3571237546075</c:v>
                </c:pt>
              </c:numCache>
            </c:numRef>
          </c:val>
          <c:extLst>
            <c:ext xmlns:c16="http://schemas.microsoft.com/office/drawing/2014/chart" uri="{C3380CC4-5D6E-409C-BE32-E72D297353CC}">
              <c16:uniqueId val="{0000000A-7BA6-EF49-AE4B-8E600E6F1F4B}"/>
            </c:ext>
          </c:extLst>
        </c:ser>
        <c:dLbls>
          <c:showLegendKey val="0"/>
          <c:showVal val="0"/>
          <c:showCatName val="0"/>
          <c:showSerName val="0"/>
          <c:showPercent val="0"/>
          <c:showBubbleSize val="0"/>
        </c:dLbls>
        <c:gapWidth val="150"/>
        <c:axId val="40851328"/>
        <c:axId val="40852864"/>
      </c:barChart>
      <c:lineChart>
        <c:grouping val="standard"/>
        <c:varyColors val="0"/>
        <c:ser>
          <c:idx val="1"/>
          <c:order val="1"/>
          <c:tx>
            <c:v>Cost-Effective Threshold ($/DALY = 3GDP)</c:v>
          </c:tx>
          <c:spPr>
            <a:ln>
              <a:solidFill>
                <a:schemeClr val="tx2"/>
              </a:solidFill>
            </a:ln>
            <a:effectLst>
              <a:outerShdw blurRad="508000" dist="127000" dir="5400000" algn="tl" rotWithShape="0">
                <a:srgbClr val="000000">
                  <a:alpha val="90000"/>
                </a:srgbClr>
              </a:outerShdw>
            </a:effectLst>
          </c:spPr>
          <c:marker>
            <c:symbol val="none"/>
          </c:marker>
          <c:val>
            <c:numRef>
              <c:f>Calculations!$H$50:$H$54</c:f>
              <c:numCache>
                <c:formatCode>_([$$-409]* #,##0.00_);_([$$-409]* \(#,##0.00\);_([$$-409]* "-"??_);_(@_)</c:formatCode>
                <c:ptCount val="5"/>
                <c:pt idx="0">
                  <c:v>2250</c:v>
                </c:pt>
                <c:pt idx="1">
                  <c:v>2250</c:v>
                </c:pt>
                <c:pt idx="2">
                  <c:v>2250</c:v>
                </c:pt>
                <c:pt idx="3">
                  <c:v>2250</c:v>
                </c:pt>
                <c:pt idx="4">
                  <c:v>2250</c:v>
                </c:pt>
              </c:numCache>
            </c:numRef>
          </c:val>
          <c:smooth val="0"/>
          <c:extLst>
            <c:ext xmlns:c16="http://schemas.microsoft.com/office/drawing/2014/chart" uri="{C3380CC4-5D6E-409C-BE32-E72D297353CC}">
              <c16:uniqueId val="{0000000B-7BA6-EF49-AE4B-8E600E6F1F4B}"/>
            </c:ext>
          </c:extLst>
        </c:ser>
        <c:ser>
          <c:idx val="2"/>
          <c:order val="2"/>
          <c:tx>
            <c:v>Very Cost-Effective ($/DALY = GDP)</c:v>
          </c:tx>
          <c:spPr>
            <a:ln>
              <a:solidFill>
                <a:schemeClr val="tx2">
                  <a:lumMod val="60000"/>
                  <a:lumOff val="40000"/>
                </a:schemeClr>
              </a:solidFill>
            </a:ln>
            <a:effectLst>
              <a:outerShdw blurRad="508000" dist="127000" dir="5400000" algn="tl" rotWithShape="0">
                <a:srgbClr val="000000">
                  <a:alpha val="90000"/>
                </a:srgbClr>
              </a:outerShdw>
            </a:effectLst>
          </c:spPr>
          <c:marker>
            <c:symbol val="none"/>
          </c:marker>
          <c:val>
            <c:numRef>
              <c:f>Calculations!$I$50:$I$54</c:f>
              <c:numCache>
                <c:formatCode>_([$$-409]* #,##0.00_);_([$$-409]* \(#,##0.00\);_([$$-409]* "-"??_);_(@_)</c:formatCode>
                <c:ptCount val="5"/>
                <c:pt idx="0">
                  <c:v>750</c:v>
                </c:pt>
                <c:pt idx="1">
                  <c:v>750</c:v>
                </c:pt>
                <c:pt idx="2">
                  <c:v>750</c:v>
                </c:pt>
                <c:pt idx="3">
                  <c:v>750</c:v>
                </c:pt>
                <c:pt idx="4">
                  <c:v>750</c:v>
                </c:pt>
              </c:numCache>
            </c:numRef>
          </c:val>
          <c:smooth val="0"/>
          <c:extLst>
            <c:ext xmlns:c16="http://schemas.microsoft.com/office/drawing/2014/chart" uri="{C3380CC4-5D6E-409C-BE32-E72D297353CC}">
              <c16:uniqueId val="{0000000C-7BA6-EF49-AE4B-8E600E6F1F4B}"/>
            </c:ext>
          </c:extLst>
        </c:ser>
        <c:dLbls>
          <c:showLegendKey val="0"/>
          <c:showVal val="0"/>
          <c:showCatName val="0"/>
          <c:showSerName val="0"/>
          <c:showPercent val="0"/>
          <c:showBubbleSize val="0"/>
        </c:dLbls>
        <c:marker val="1"/>
        <c:smooth val="0"/>
        <c:axId val="40851328"/>
        <c:axId val="40852864"/>
      </c:lineChart>
      <c:catAx>
        <c:axId val="40851328"/>
        <c:scaling>
          <c:orientation val="minMax"/>
        </c:scaling>
        <c:delete val="0"/>
        <c:axPos val="b"/>
        <c:numFmt formatCode="General" sourceLinked="1"/>
        <c:majorTickMark val="out"/>
        <c:minorTickMark val="none"/>
        <c:tickLblPos val="nextTo"/>
        <c:txPr>
          <a:bodyPr/>
          <a:lstStyle/>
          <a:p>
            <a:pPr>
              <a:defRPr sz="1200"/>
            </a:pPr>
            <a:endParaRPr lang="en-US"/>
          </a:p>
        </c:txPr>
        <c:crossAx val="40852864"/>
        <c:crosses val="autoZero"/>
        <c:auto val="1"/>
        <c:lblAlgn val="ctr"/>
        <c:lblOffset val="100"/>
        <c:noMultiLvlLbl val="0"/>
      </c:catAx>
      <c:valAx>
        <c:axId val="40852864"/>
        <c:scaling>
          <c:orientation val="minMax"/>
        </c:scaling>
        <c:delete val="0"/>
        <c:axPos val="l"/>
        <c:majorGridlines/>
        <c:title>
          <c:tx>
            <c:rich>
              <a:bodyPr rot="-5400000" vert="horz"/>
              <a:lstStyle/>
              <a:p>
                <a:pPr>
                  <a:defRPr sz="2400"/>
                </a:pPr>
                <a:r>
                  <a:rPr lang="en-US" sz="2400"/>
                  <a:t>Cost per DALY Averted</a:t>
                </a:r>
              </a:p>
            </c:rich>
          </c:tx>
          <c:overlay val="0"/>
        </c:title>
        <c:numFmt formatCode="_(&quot;$&quot;* #,##0.00_);_(&quot;$&quot;* \(#,##0.00\);_(&quot;$&quot;* &quot;-&quot;??_);_(@_)" sourceLinked="1"/>
        <c:majorTickMark val="out"/>
        <c:minorTickMark val="none"/>
        <c:tickLblPos val="nextTo"/>
        <c:crossAx val="40851328"/>
        <c:crosses val="autoZero"/>
        <c:crossBetween val="between"/>
      </c:valAx>
    </c:plotArea>
    <c:legend>
      <c:legendPos val="r"/>
      <c:legendEntry>
        <c:idx val="0"/>
        <c:delete val="1"/>
      </c:legendEntry>
      <c:layout>
        <c:manualLayout>
          <c:xMode val="edge"/>
          <c:yMode val="edge"/>
          <c:x val="0.80140128584844295"/>
          <c:y val="0.288843832020997"/>
          <c:w val="0.19492898938091499"/>
          <c:h val="0.32288220382708599"/>
        </c:manualLayout>
      </c:layout>
      <c:overlay val="0"/>
    </c:legend>
    <c:plotVisOnly val="1"/>
    <c:dispBlanksAs val="gap"/>
    <c:showDLblsOverMax val="0"/>
  </c:chart>
  <c:spPr>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0.16521271933138901"/>
          <c:y val="3.4852546916890097E-2"/>
          <c:w val="0.66154397207066995"/>
          <c:h val="0.79049165101011198"/>
        </c:manualLayout>
      </c:layout>
      <c:areaChart>
        <c:grouping val="standard"/>
        <c:varyColors val="0"/>
        <c:ser>
          <c:idx val="9"/>
          <c:order val="0"/>
          <c:tx>
            <c:v>$10</c:v>
          </c:tx>
          <c:cat>
            <c:numRef>
              <c:f>Calculations!$A$84:$A$95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Calculations!$R$84:$R$95</c:f>
              <c:numCache>
                <c:formatCode>0.00%</c:formatCode>
                <c:ptCount val="12"/>
                <c:pt idx="0">
                  <c:v>6.1843345413372261E-2</c:v>
                </c:pt>
                <c:pt idx="1">
                  <c:v>3.092167270668613E-2</c:v>
                </c:pt>
                <c:pt idx="2">
                  <c:v>2.0614448471124088E-2</c:v>
                </c:pt>
                <c:pt idx="3">
                  <c:v>1.5460836353343065E-2</c:v>
                </c:pt>
                <c:pt idx="4">
                  <c:v>1.2368669082674453E-2</c:v>
                </c:pt>
                <c:pt idx="5">
                  <c:v>1.0307224235562044E-2</c:v>
                </c:pt>
                <c:pt idx="6">
                  <c:v>8.8347636304817526E-3</c:v>
                </c:pt>
                <c:pt idx="7">
                  <c:v>7.7304181766715326E-3</c:v>
                </c:pt>
                <c:pt idx="8">
                  <c:v>6.8714828237080288E-3</c:v>
                </c:pt>
                <c:pt idx="9">
                  <c:v>6.1843345413372264E-3</c:v>
                </c:pt>
                <c:pt idx="10">
                  <c:v>5.6221223103065689E-3</c:v>
                </c:pt>
                <c:pt idx="11">
                  <c:v>5.153612117781022E-3</c:v>
                </c:pt>
              </c:numCache>
            </c:numRef>
          </c:val>
          <c:extLst>
            <c:ext xmlns:c16="http://schemas.microsoft.com/office/drawing/2014/chart" uri="{C3380CC4-5D6E-409C-BE32-E72D297353CC}">
              <c16:uniqueId val="{00000000-B9D7-D244-A163-E3F8CBC65666}"/>
            </c:ext>
          </c:extLst>
        </c:ser>
        <c:ser>
          <c:idx val="7"/>
          <c:order val="1"/>
          <c:tx>
            <c:v>$8</c:v>
          </c:tx>
          <c:cat>
            <c:numRef>
              <c:f>Calculations!$A$84:$A$95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Calculations!$P$84:$P$95</c:f>
              <c:numCache>
                <c:formatCode>0.00%</c:formatCode>
                <c:ptCount val="12"/>
                <c:pt idx="0">
                  <c:v>4.9474676330697819E-2</c:v>
                </c:pt>
                <c:pt idx="1">
                  <c:v>2.4737338165348909E-2</c:v>
                </c:pt>
                <c:pt idx="2">
                  <c:v>1.6491558776899274E-2</c:v>
                </c:pt>
                <c:pt idx="3">
                  <c:v>1.2368669082674455E-2</c:v>
                </c:pt>
                <c:pt idx="4">
                  <c:v>9.894935266139564E-3</c:v>
                </c:pt>
                <c:pt idx="5">
                  <c:v>8.245779388449637E-3</c:v>
                </c:pt>
                <c:pt idx="6">
                  <c:v>7.0678109043854024E-3</c:v>
                </c:pt>
                <c:pt idx="7">
                  <c:v>6.1843345413372273E-3</c:v>
                </c:pt>
                <c:pt idx="8">
                  <c:v>5.4971862589664241E-3</c:v>
                </c:pt>
                <c:pt idx="9">
                  <c:v>4.947467633069782E-3</c:v>
                </c:pt>
                <c:pt idx="10">
                  <c:v>4.4976978482452563E-3</c:v>
                </c:pt>
                <c:pt idx="11">
                  <c:v>4.1228896942248185E-3</c:v>
                </c:pt>
              </c:numCache>
            </c:numRef>
          </c:val>
          <c:extLst>
            <c:ext xmlns:c16="http://schemas.microsoft.com/office/drawing/2014/chart" uri="{C3380CC4-5D6E-409C-BE32-E72D297353CC}">
              <c16:uniqueId val="{00000001-B9D7-D244-A163-E3F8CBC65666}"/>
            </c:ext>
          </c:extLst>
        </c:ser>
        <c:ser>
          <c:idx val="5"/>
          <c:order val="2"/>
          <c:tx>
            <c:v>$6</c:v>
          </c:tx>
          <c:cat>
            <c:numRef>
              <c:f>Calculations!$A$84:$A$95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Calculations!$N$84:$N$95</c:f>
              <c:numCache>
                <c:formatCode>0.00%</c:formatCode>
                <c:ptCount val="12"/>
                <c:pt idx="0">
                  <c:v>3.7106007248023355E-2</c:v>
                </c:pt>
                <c:pt idx="1">
                  <c:v>1.8553003624011678E-2</c:v>
                </c:pt>
                <c:pt idx="2">
                  <c:v>1.2368669082674451E-2</c:v>
                </c:pt>
                <c:pt idx="3">
                  <c:v>9.2765018120058388E-3</c:v>
                </c:pt>
                <c:pt idx="4">
                  <c:v>7.4212014496046709E-3</c:v>
                </c:pt>
                <c:pt idx="5">
                  <c:v>6.1843345413372256E-3</c:v>
                </c:pt>
                <c:pt idx="6">
                  <c:v>5.3008581782890505E-3</c:v>
                </c:pt>
                <c:pt idx="7">
                  <c:v>4.6382509060029194E-3</c:v>
                </c:pt>
                <c:pt idx="8">
                  <c:v>4.1228896942248168E-3</c:v>
                </c:pt>
                <c:pt idx="9">
                  <c:v>3.7106007248023354E-3</c:v>
                </c:pt>
                <c:pt idx="10">
                  <c:v>3.3732733861839411E-3</c:v>
                </c:pt>
                <c:pt idx="11">
                  <c:v>3.0921672706686128E-3</c:v>
                </c:pt>
              </c:numCache>
            </c:numRef>
          </c:val>
          <c:extLst>
            <c:ext xmlns:c16="http://schemas.microsoft.com/office/drawing/2014/chart" uri="{C3380CC4-5D6E-409C-BE32-E72D297353CC}">
              <c16:uniqueId val="{00000002-B9D7-D244-A163-E3F8CBC65666}"/>
            </c:ext>
          </c:extLst>
        </c:ser>
        <c:ser>
          <c:idx val="3"/>
          <c:order val="3"/>
          <c:tx>
            <c:v>$4</c:v>
          </c:tx>
          <c:cat>
            <c:numRef>
              <c:f>Calculations!$A$84:$A$95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Calculations!$L$84:$L$95</c:f>
              <c:numCache>
                <c:formatCode>0.00%</c:formatCode>
                <c:ptCount val="12"/>
                <c:pt idx="0">
                  <c:v>2.4737338165348909E-2</c:v>
                </c:pt>
                <c:pt idx="1">
                  <c:v>1.2368669082674455E-2</c:v>
                </c:pt>
                <c:pt idx="2">
                  <c:v>8.245779388449637E-3</c:v>
                </c:pt>
                <c:pt idx="3">
                  <c:v>6.1843345413372273E-3</c:v>
                </c:pt>
                <c:pt idx="4">
                  <c:v>4.947467633069782E-3</c:v>
                </c:pt>
                <c:pt idx="5">
                  <c:v>4.1228896942248185E-3</c:v>
                </c:pt>
                <c:pt idx="6">
                  <c:v>3.5339054521927012E-3</c:v>
                </c:pt>
                <c:pt idx="7">
                  <c:v>3.0921672706686137E-3</c:v>
                </c:pt>
                <c:pt idx="8">
                  <c:v>2.748593129483212E-3</c:v>
                </c:pt>
                <c:pt idx="9">
                  <c:v>2.473733816534891E-3</c:v>
                </c:pt>
                <c:pt idx="10">
                  <c:v>2.2488489241226282E-3</c:v>
                </c:pt>
                <c:pt idx="11">
                  <c:v>2.0614448471124092E-3</c:v>
                </c:pt>
              </c:numCache>
            </c:numRef>
          </c:val>
          <c:extLst>
            <c:ext xmlns:c16="http://schemas.microsoft.com/office/drawing/2014/chart" uri="{C3380CC4-5D6E-409C-BE32-E72D297353CC}">
              <c16:uniqueId val="{00000003-B9D7-D244-A163-E3F8CBC65666}"/>
            </c:ext>
          </c:extLst>
        </c:ser>
        <c:ser>
          <c:idx val="1"/>
          <c:order val="4"/>
          <c:tx>
            <c:v>$2</c:v>
          </c:tx>
          <c:cat>
            <c:numRef>
              <c:f>Calculations!$A$84:$A$95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Calculations!$J$84:$J$95</c:f>
              <c:numCache>
                <c:formatCode>0.00%</c:formatCode>
                <c:ptCount val="12"/>
                <c:pt idx="0">
                  <c:v>1.2368669082674455E-2</c:v>
                </c:pt>
                <c:pt idx="1">
                  <c:v>6.1843345413372273E-3</c:v>
                </c:pt>
                <c:pt idx="2">
                  <c:v>4.1228896942248185E-3</c:v>
                </c:pt>
                <c:pt idx="3">
                  <c:v>3.0921672706686137E-3</c:v>
                </c:pt>
                <c:pt idx="4">
                  <c:v>2.473733816534891E-3</c:v>
                </c:pt>
                <c:pt idx="5">
                  <c:v>2.0614448471124092E-3</c:v>
                </c:pt>
                <c:pt idx="6">
                  <c:v>1.7669527260963506E-3</c:v>
                </c:pt>
                <c:pt idx="7">
                  <c:v>1.5460836353343068E-3</c:v>
                </c:pt>
                <c:pt idx="8">
                  <c:v>1.374296564741606E-3</c:v>
                </c:pt>
                <c:pt idx="9">
                  <c:v>1.2368669082674455E-3</c:v>
                </c:pt>
                <c:pt idx="10">
                  <c:v>1.1244244620613141E-3</c:v>
                </c:pt>
                <c:pt idx="11">
                  <c:v>1.0307224235562046E-3</c:v>
                </c:pt>
              </c:numCache>
            </c:numRef>
          </c:val>
          <c:extLst>
            <c:ext xmlns:c16="http://schemas.microsoft.com/office/drawing/2014/chart" uri="{C3380CC4-5D6E-409C-BE32-E72D297353CC}">
              <c16:uniqueId val="{00000004-B9D7-D244-A163-E3F8CBC65666}"/>
            </c:ext>
          </c:extLst>
        </c:ser>
        <c:ser>
          <c:idx val="10"/>
          <c:order val="5"/>
          <c:spPr>
            <a:solidFill>
              <a:schemeClr val="bg1">
                <a:lumMod val="50000"/>
              </a:schemeClr>
            </a:solidFill>
          </c:spPr>
          <c:val>
            <c:numRef>
              <c:f>Calculations!$I$84:$I$95</c:f>
              <c:numCache>
                <c:formatCode>0.00%</c:formatCode>
                <c:ptCount val="12"/>
                <c:pt idx="0">
                  <c:v>6.1843345413372273E-3</c:v>
                </c:pt>
                <c:pt idx="1">
                  <c:v>3.0921672706686137E-3</c:v>
                </c:pt>
                <c:pt idx="2">
                  <c:v>2.0614448471124092E-3</c:v>
                </c:pt>
                <c:pt idx="3">
                  <c:v>1.5460836353343068E-3</c:v>
                </c:pt>
                <c:pt idx="4">
                  <c:v>1.2368669082674455E-3</c:v>
                </c:pt>
                <c:pt idx="5">
                  <c:v>1.0307224235562046E-3</c:v>
                </c:pt>
                <c:pt idx="6">
                  <c:v>8.834763630481753E-4</c:v>
                </c:pt>
                <c:pt idx="7">
                  <c:v>7.7304181766715341E-4</c:v>
                </c:pt>
                <c:pt idx="8">
                  <c:v>6.8714828237080301E-4</c:v>
                </c:pt>
                <c:pt idx="9">
                  <c:v>6.1843345413372275E-4</c:v>
                </c:pt>
                <c:pt idx="10">
                  <c:v>5.6221223103065704E-4</c:v>
                </c:pt>
                <c:pt idx="11">
                  <c:v>5.1536121177810231E-4</c:v>
                </c:pt>
              </c:numCache>
            </c:numRef>
          </c:val>
          <c:extLst>
            <c:ext xmlns:c16="http://schemas.microsoft.com/office/drawing/2014/chart" uri="{C3380CC4-5D6E-409C-BE32-E72D297353CC}">
              <c16:uniqueId val="{00000005-B9D7-D244-A163-E3F8CBC65666}"/>
            </c:ext>
          </c:extLst>
        </c:ser>
        <c:dLbls>
          <c:showLegendKey val="0"/>
          <c:showVal val="0"/>
          <c:showCatName val="0"/>
          <c:showSerName val="0"/>
          <c:showPercent val="0"/>
          <c:showBubbleSize val="0"/>
        </c:dLbls>
        <c:axId val="40886272"/>
        <c:axId val="40888192"/>
      </c:areaChart>
      <c:catAx>
        <c:axId val="40886272"/>
        <c:scaling>
          <c:orientation val="minMax"/>
        </c:scaling>
        <c:delete val="0"/>
        <c:axPos val="b"/>
        <c:title>
          <c:tx>
            <c:rich>
              <a:bodyPr/>
              <a:lstStyle/>
              <a:p>
                <a:pPr>
                  <a:defRPr sz="2400"/>
                </a:pPr>
                <a:r>
                  <a:rPr lang="en-US" sz="2400"/>
                  <a:t>Incidence (per 1000 per year)</a:t>
                </a:r>
              </a:p>
            </c:rich>
          </c:tx>
          <c:overlay val="0"/>
        </c:title>
        <c:numFmt formatCode="General" sourceLinked="1"/>
        <c:majorTickMark val="out"/>
        <c:minorTickMark val="none"/>
        <c:tickLblPos val="nextTo"/>
        <c:crossAx val="40888192"/>
        <c:crosses val="autoZero"/>
        <c:auto val="1"/>
        <c:lblAlgn val="ctr"/>
        <c:lblOffset val="100"/>
        <c:noMultiLvlLbl val="0"/>
      </c:catAx>
      <c:valAx>
        <c:axId val="40888192"/>
        <c:scaling>
          <c:orientation val="minMax"/>
          <c:max val="0.1"/>
        </c:scaling>
        <c:delete val="0"/>
        <c:axPos val="l"/>
        <c:majorGridlines/>
        <c:title>
          <c:tx>
            <c:rich>
              <a:bodyPr rot="-5400000" vert="horz"/>
              <a:lstStyle/>
              <a:p>
                <a:pPr>
                  <a:defRPr sz="2400"/>
                </a:pPr>
                <a:r>
                  <a:rPr lang="en-US" sz="2400"/>
                  <a:t>Case Fatality Ratio</a:t>
                </a:r>
              </a:p>
            </c:rich>
          </c:tx>
          <c:overlay val="0"/>
        </c:title>
        <c:numFmt formatCode="0.00%" sourceLinked="1"/>
        <c:majorTickMark val="out"/>
        <c:minorTickMark val="none"/>
        <c:tickLblPos val="nextTo"/>
        <c:crossAx val="40886272"/>
        <c:crosses val="autoZero"/>
        <c:crossBetween val="midCat"/>
      </c:valAx>
    </c:plotArea>
    <c:legend>
      <c:legendPos val="r"/>
      <c:legendEntry>
        <c:idx val="5"/>
        <c:delete val="1"/>
      </c:legendEntry>
      <c:layout>
        <c:manualLayout>
          <c:xMode val="edge"/>
          <c:yMode val="edge"/>
          <c:x val="0.87103737512657398"/>
          <c:y val="0.32268397531389698"/>
          <c:w val="6.5622893587437794E-2"/>
          <c:h val="0.34818684826558799"/>
        </c:manualLayout>
      </c:layout>
      <c:overlay val="0"/>
    </c:legend>
    <c:plotVisOnly val="1"/>
    <c:dispBlanksAs val="gap"/>
    <c:showDLblsOverMax val="0"/>
  </c:chart>
  <c:spPr>
    <a:ln>
      <a:noFill/>
    </a:ln>
  </c:spPr>
  <c:printSettings>
    <c:headerFooter/>
    <c:pageMargins b="1" l="0.75" r="0.75" t="1" header="0.5" footer="0.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1730753</xdr:colOff>
      <xdr:row>3</xdr:row>
      <xdr:rowOff>186244</xdr:rowOff>
    </xdr:from>
    <xdr:to>
      <xdr:col>1</xdr:col>
      <xdr:colOff>2006978</xdr:colOff>
      <xdr:row>3</xdr:row>
      <xdr:rowOff>191959</xdr:rowOff>
    </xdr:to>
    <xdr:sp macro="" textlink="">
      <xdr:nvSpPr>
        <xdr:cNvPr id="2" name="Down Arrow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SpPr/>
      </xdr:nvSpPr>
      <xdr:spPr>
        <a:xfrm>
          <a:off x="10820965" y="5842973"/>
          <a:ext cx="276225" cy="5715"/>
        </a:xfrm>
        <a:prstGeom prst="downArrow">
          <a:avLst/>
        </a:prstGeom>
        <a:solidFill>
          <a:schemeClr val="accent3">
            <a:lumMod val="50000"/>
          </a:schemeClr>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304800</xdr:colOff>
      <xdr:row>22</xdr:row>
      <xdr:rowOff>0</xdr:rowOff>
    </xdr:from>
    <xdr:to>
      <xdr:col>11</xdr:col>
      <xdr:colOff>1016000</xdr:colOff>
      <xdr:row>45</xdr:row>
      <xdr:rowOff>0</xdr:rowOff>
    </xdr:to>
    <xdr:graphicFrame macro="">
      <xdr:nvGraphicFramePr>
        <xdr:cNvPr id="4" name="Chart 3" descr="A graph of case fatality ratio in percentage against the incidence rate per 1000 per year with not cost-effective, cost-effective, and very cost-effective regions. ">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317500</xdr:colOff>
      <xdr:row>1</xdr:row>
      <xdr:rowOff>38100</xdr:rowOff>
    </xdr:from>
    <xdr:to>
      <xdr:col>11</xdr:col>
      <xdr:colOff>1028700</xdr:colOff>
      <xdr:row>21</xdr:row>
      <xdr:rowOff>12700</xdr:rowOff>
    </xdr:to>
    <xdr:graphicFrame macro="">
      <xdr:nvGraphicFramePr>
        <xdr:cNvPr id="5" name="Chart 4" descr="An image of a graph representing net vaccination cost against D A L Y s averted of groups 1 and 2 with the lines representing cost-effective and very-cost-effective thresholds.">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901700</xdr:colOff>
      <xdr:row>1</xdr:row>
      <xdr:rowOff>38100</xdr:rowOff>
    </xdr:from>
    <xdr:to>
      <xdr:col>18</xdr:col>
      <xdr:colOff>406400</xdr:colOff>
      <xdr:row>21</xdr:row>
      <xdr:rowOff>12700</xdr:rowOff>
    </xdr:to>
    <xdr:graphicFrame macro="">
      <xdr:nvGraphicFramePr>
        <xdr:cNvPr id="10" name="Chart 9" descr="An image of a bar graph of cost per D A L Y averted in groups 1, 2, 3, and 4 with its total. The horizontal lines represent cost-effective and very cost-effective thresholds. ">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1079500</xdr:colOff>
      <xdr:row>21</xdr:row>
      <xdr:rowOff>88900</xdr:rowOff>
    </xdr:from>
    <xdr:to>
      <xdr:col>18</xdr:col>
      <xdr:colOff>279400</xdr:colOff>
      <xdr:row>45</xdr:row>
      <xdr:rowOff>12700</xdr:rowOff>
    </xdr:to>
    <xdr:graphicFrame macro="">
      <xdr:nvGraphicFramePr>
        <xdr:cNvPr id="7" name="Chart 6" descr="An image of a graph representing the case fatality ratio against the incidence rate per 1000 per year. The curved regions display the level of effectiveness.">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7C41C8-5A18-4C0A-9CBB-AB7CF1E5B01F}" name="Table2" displayName="Table2" ref="A54:C59" totalsRowShown="0" tableBorderDxfId="115">
  <autoFilter ref="A54:C59" xr:uid="{237C41C8-5A18-4C0A-9CBB-AB7CF1E5B01F}"/>
  <tableColumns count="3">
    <tableColumn id="1" xr3:uid="{239CC712-551A-45ED-9FC0-BA2C80F0D40F}" name="Column1" dataDxfId="114"/>
    <tableColumn id="2" xr3:uid="{4B573CFA-860B-4AD6-87B6-595D203B26C6}" name="Cost per DALY Averted" dataDxfId="113" dataCellStyle="Currency">
      <calculatedColumnFormula>Calculations!V27</calculatedColumnFormula>
    </tableColumn>
    <tableColumn id="3" xr3:uid="{7D9B6B87-7900-458E-90C1-4E5C0A824C8A}" name="Cost per Death Averted" dataDxfId="112" dataCellStyle="Currency">
      <calculatedColumnFormula>Calculations!W27</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5F5D914-C944-40AE-8016-B5E2255870EF}" name="Table8" displayName="Table8" ref="A26:W32" totalsRowShown="0" headerRowDxfId="111" dataDxfId="109" headerRowBorderDxfId="110" tableBorderDxfId="108">
  <autoFilter ref="A26:W32" xr:uid="{E5F5D914-C944-40AE-8016-B5E2255870EF}"/>
  <tableColumns count="23">
    <tableColumn id="1" xr3:uid="{C57F4855-9356-4218-8B48-D869253E8DD3}" name="Group" dataDxfId="107"/>
    <tableColumn id="2" xr3:uid="{B1909E6C-6627-4EA0-8107-6C82F3DB4C0D}" name="Percent Vaccinees" dataDxfId="106" dataCellStyle="Percent"/>
    <tableColumn id="3" xr3:uid="{EBB92807-C92A-4B65-9E4E-8E35945BF910}" name="Vaccinated" dataDxfId="105"/>
    <tableColumn id="4" xr3:uid="{F727F99D-9133-471A-99AC-78F2337F7F23}" name="Life Expectancy" dataDxfId="104"/>
    <tableColumn id="5" xr3:uid="{3CCAD424-F0DA-4DE8-8A75-6B32C3FACA6C}" name="Total Expected" dataDxfId="103"/>
    <tableColumn id="6" xr3:uid="{DD846141-2445-4FBA-8417-7580C50AFBDB}" name="Expected Cases" dataDxfId="102"/>
    <tableColumn id="7" xr3:uid="{FEE31CBE-CA17-4BEB-81EB-D99D28D2B777}" name="Expected Deaths" dataDxfId="101"/>
    <tableColumn id="8" xr3:uid="{FB4C650A-A7CC-49F7-AF25-E3032F88E281}" name="Cases Averted" dataDxfId="100"/>
    <tableColumn id="9" xr3:uid="{C77A3007-0280-4AEE-9246-53ABC83C48DF}" name="Deaths Averted" dataDxfId="99"/>
    <tableColumn id="10" xr3:uid="{5331AB09-E297-464D-BBD4-84CE78B5A2EE}" name="Total Averted" dataDxfId="98"/>
    <tableColumn id="11" xr3:uid="{F4335675-6A9E-4814-8BDE-920731CBDCFC}" name="YLD Averted/Year" dataDxfId="97"/>
    <tableColumn id="12" xr3:uid="{464713E9-C931-40ED-BA66-DACEB7B48871}" name="YLL Averted/Year" dataDxfId="96"/>
    <tableColumn id="13" xr3:uid="{B6627307-25FD-474A-8A10-66248A42CE87}" name="Year 1" dataDxfId="95">
      <calculatedColumnFormula>(L27+K27)/(1+'Charts and Tables'!$B$35)^(0)</calculatedColumnFormula>
    </tableColumn>
    <tableColumn id="14" xr3:uid="{7EAEB03E-69A7-4C8A-947C-3CC20460403D}" name="Year 2" dataDxfId="94">
      <calculatedColumnFormula>($K27+L27)/(1+'Charts and Tables'!$B$35)^1</calculatedColumnFormula>
    </tableColumn>
    <tableColumn id="15" xr3:uid="{21CAD94B-2134-4C46-B032-845CD6321C06}" name="Year 3" dataDxfId="93">
      <calculatedColumnFormula>(L27+$K27)/(1+'Charts and Tables'!$B$35)^2</calculatedColumnFormula>
    </tableColumn>
    <tableColumn id="16" xr3:uid="{BC1EC4C1-1E80-4061-BDD6-33B9E0BD1BB1}" name="Year 4" dataDxfId="92">
      <calculatedColumnFormula>($K27+L27)/(1+'Charts and Tables'!$B$35)^3</calculatedColumnFormula>
    </tableColumn>
    <tableColumn id="17" xr3:uid="{866CC06C-0FF5-4996-9EFB-26EF849C36B5}" name="Year 5" dataDxfId="91">
      <calculatedColumnFormula>(L27+$K27)/(1+'Charts and Tables'!$B$35)^4</calculatedColumnFormula>
    </tableColumn>
    <tableColumn id="18" xr3:uid="{FB7155F5-08CA-42C7-B3E7-EC26EFA8600B}" name="Total DALYs Averted" dataDxfId="90"/>
    <tableColumn id="19" xr3:uid="{BAE0AE8A-D604-41C6-A26F-B278A81C8F66}" name="DALY/Case" dataDxfId="89"/>
    <tableColumn id="20" xr3:uid="{DDBC0FAA-EE1B-4251-95CE-EC300316ACD6}" name="DALY/Death" dataDxfId="88"/>
    <tableColumn id="21" xr3:uid="{7C26A40C-AF19-4903-83C4-AB3CBA63A9B3}" name="Net Cost" dataDxfId="87"/>
    <tableColumn id="22" xr3:uid="{D8E252CB-63BC-41E0-B558-51D1E01C628A}" name="Cost/DALY" dataDxfId="86"/>
    <tableColumn id="23" xr3:uid="{279E9DA4-8943-458D-A98A-4EAAF539F7BC}" name="Cost/Death" dataDxfId="8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2B7248-12F2-4DA5-AFFB-3318E610C63E}" name="Table9" displayName="Table9" ref="A35:P36" totalsRowShown="0" headerRowDxfId="84" headerRowBorderDxfId="83">
  <autoFilter ref="A35:P36" xr:uid="{1A2B7248-12F2-4DA5-AFFB-3318E610C63E}"/>
  <tableColumns count="16">
    <tableColumn id="1" xr3:uid="{2F58BFEE-A725-402B-8F28-63B85AC1D0DB}" name="Overall PE" dataDxfId="82">
      <calculatedColumnFormula>J31/E31</calculatedColumnFormula>
    </tableColumn>
    <tableColumn id="2" xr3:uid="{AD18F0CA-338C-4B3F-A325-CA205B4A4992}" name="Duration" dataDxfId="81">
      <calculatedColumnFormula>'Charts and Tables'!B7</calculatedColumnFormula>
    </tableColumn>
    <tableColumn id="3" xr3:uid="{94EC448D-8AB5-4DD1-9F38-6C3031D7C78E}" name="Duration Illness" dataDxfId="80">
      <calculatedColumnFormula>'Charts and Tables'!B36/365</calculatedColumnFormula>
    </tableColumn>
    <tableColumn id="4" xr3:uid="{C17F56B3-1E29-49F6-A68E-AE97B2939C87}" name="Cost of Vaccinating" dataDxfId="79">
      <calculatedColumnFormula>C31*F36</calculatedColumnFormula>
    </tableColumn>
    <tableColumn id="5" xr3:uid="{9D9CA230-7591-45D9-86CA-FFACD9E17496}" name="Net Program Cost" dataDxfId="78" dataCellStyle="Currency">
      <calculatedColumnFormula>'Charts and Tables'!F5</calculatedColumnFormula>
    </tableColumn>
    <tableColumn id="6" xr3:uid="{F822711C-CA91-4C83-B84A-33F38181B7D9}" name="Vaccine Cost" dataDxfId="77" dataCellStyle="Currency">
      <calculatedColumnFormula>'Charts and Tables'!B5+'Charts and Tables'!B6</calculatedColumnFormula>
    </tableColumn>
    <tableColumn id="7" xr3:uid="{50AB75D7-F677-42B7-BAAC-EC382906CA0E}" name="GDP" dataDxfId="76" dataCellStyle="Currency">
      <calculatedColumnFormula>'Charts and Tables'!B9</calculatedColumnFormula>
    </tableColumn>
    <tableColumn id="8" xr3:uid="{49F7033E-1493-4B32-80B9-0EED30E517AE}" name="Cost of Infection" dataDxfId="75" dataCellStyle="Currency">
      <calculatedColumnFormula>'Charts and Tables'!B8</calculatedColumnFormula>
    </tableColumn>
    <tableColumn id="9" xr3:uid="{2B8E0D6B-7353-4691-8C05-5EC3D0DA02F7}" name="Cost per Death" dataDxfId="74" dataCellStyle="Currency"/>
    <tableColumn id="10" xr3:uid="{73B85679-36D6-4D47-A00E-3C87B06331F9}" name="Cost/DALY" dataDxfId="73">
      <calculatedColumnFormula>'Charts and Tables'!F14</calculatedColumnFormula>
    </tableColumn>
    <tableColumn id="11" xr3:uid="{2569171A-698D-4B78-9311-758D04A831AE}" name="Cost of Infection Averted" dataDxfId="72">
      <calculatedColumnFormula>H36*J31</calculatedColumnFormula>
    </tableColumn>
    <tableColumn id="12" xr3:uid="{D991D933-AE0D-42A8-933A-896289CF50FA}" name="Cost of Death Averted" dataDxfId="71">
      <calculatedColumnFormula>I36*I31</calculatedColumnFormula>
    </tableColumn>
    <tableColumn id="13" xr3:uid="{675F909B-EE96-40F2-8252-C6AF0C1D14EF}" name="Total Cost" dataDxfId="70" dataCellStyle="Currency">
      <calculatedColumnFormula>D36-K36-L36</calculatedColumnFormula>
    </tableColumn>
    <tableColumn id="14" xr3:uid="{FF581238-729D-45C1-92D8-775D636EFD95}" name="Total DALYs" dataDxfId="69" dataCellStyle="Currency">
      <calculatedColumnFormula>R32</calculatedColumnFormula>
    </tableColumn>
    <tableColumn id="15" xr3:uid="{3591DB36-3BF7-4A0E-A545-0F6D424AAD43}" name="Very CE-Highest" dataDxfId="68">
      <calculatedColumnFormula>N36*G36</calculatedColumnFormula>
    </tableColumn>
    <tableColumn id="16" xr3:uid="{7E255AAD-D997-4430-9C10-BC87C0632463}" name="CE-Highest" dataDxfId="67">
      <calculatedColumnFormula>O36*3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082B7C-800F-418C-A2E9-A6E23E8D3BC8}" name="Table10" displayName="Table10" ref="A48:J56" totalsRowShown="0" headerRowDxfId="66" dataDxfId="64" headerRowBorderDxfId="65" tableBorderDxfId="63">
  <autoFilter ref="A48:J56" xr:uid="{D6082B7C-800F-418C-A2E9-A6E23E8D3BC8}"/>
  <tableColumns count="10">
    <tableColumn id="1" xr3:uid="{09D52182-9332-482E-A330-4404AB0FE119}" name="Population Coverage" dataDxfId="62"/>
    <tableColumn id="2" xr3:uid="{9036FFF4-4993-473E-9D84-FFE12F45446E}" name="Very Cost Effective" dataDxfId="61"/>
    <tableColumn id="3" xr3:uid="{0B20E6B0-CEF6-4D71-B11F-26B0F035B166}" name="Cost Effective" dataDxfId="60"/>
    <tableColumn id="4" xr3:uid="{2DDA6D64-2F9A-4D79-B11D-7A9B04BD09A1}" name="Cost Effective Threshold" dataDxfId="59"/>
    <tableColumn id="5" xr3:uid="{1ED0D5A8-A254-4AE3-B0A0-54DA731323BB}" name="Targeted Vaccination" dataDxfId="58"/>
    <tableColumn id="6" xr3:uid="{AF8F7AC7-C0E1-48E9-AB81-C165F80DD5DB}" name="Non-Selective" dataDxfId="57">
      <calculatedColumnFormula>$J$36</calculatedColumnFormula>
    </tableColumn>
    <tableColumn id="7" xr3:uid="{256C0868-4FA1-474F-A3FC-C965D05F935B}" name="Group" dataDxfId="56"/>
    <tableColumn id="8" xr3:uid="{9DB30EFF-561F-4A4C-8362-AB1E371A66C6}" name="Cost Effective2" dataDxfId="55"/>
    <tableColumn id="9" xr3:uid="{6BC9D376-23D3-4CC0-8E5D-757A145AF893}" name="Very Cost Effective3" dataDxfId="54"/>
    <tableColumn id="10" xr3:uid="{512D16A4-38DE-446B-89F4-706976152385}" name="Cost per DALY" dataDxfId="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FC4EE1-7DDC-4632-B991-D92846AD1CCF}" name="Table11" displayName="Table11" ref="A59:G64" totalsRowShown="0" headerRowDxfId="52" headerRowBorderDxfId="51" tableBorderDxfId="50">
  <autoFilter ref="A59:G64" xr:uid="{86FC4EE1-7DDC-4632-B991-D92846AD1CCF}"/>
  <tableColumns count="7">
    <tableColumn id="1" xr3:uid="{25BFC95F-E5B3-426F-A897-4FB0B8E52501}" name="Population" dataDxfId="49"/>
    <tableColumn id="2" xr3:uid="{416EE783-9043-4613-8F05-F20A54803902}" name="Value of Life" dataDxfId="48"/>
    <tableColumn id="3" xr3:uid="{A7D34C16-2B3F-419F-A934-E2BFAA022968}" name="1/2Value of Life" dataDxfId="47"/>
    <tableColumn id="4" xr3:uid="{1EE025A3-1646-4A39-8AE8-5B1642108197}" name="2Value of Life" dataDxfId="46"/>
    <tableColumn id="5" xr3:uid="{0188F3CF-653D-43FB-9E69-C08A680D766B}" name="Target" dataDxfId="45" dataCellStyle="Percent"/>
    <tableColumn id="6" xr3:uid="{C4786053-A0EF-4601-AE86-A1E8B662250B}" name="Twice Return" dataDxfId="44" dataCellStyle="Percent">
      <calculatedColumnFormula>B60*2</calculatedColumnFormula>
    </tableColumn>
    <tableColumn id="7" xr3:uid="{D265BF64-AC4C-4982-A3ED-9D0666D9C40D}" name="Half Return" dataDxfId="43" dataCellStyle="Percent">
      <calculatedColumnFormula>B60/2</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87C4CE3-5E48-4B0D-B00C-2E8F0B911189}" name="Table12" displayName="Table12" ref="A67:H79" totalsRowShown="0" headerRowDxfId="42" dataDxfId="40" headerRowBorderDxfId="41" tableBorderDxfId="39" totalsRowBorderDxfId="38">
  <autoFilter ref="A67:H79" xr:uid="{387C4CE3-5E48-4B0D-B00C-2E8F0B911189}"/>
  <tableColumns count="8">
    <tableColumn id="1" xr3:uid="{3A949879-1886-4BB7-B9D0-C6D9CF72EB58}" name="Population Coverage" dataDxfId="37" dataCellStyle="Percent"/>
    <tableColumn id="2" xr3:uid="{DD6FA627-197E-4C81-985A-5BA5C2A8240D}" name="Attack Rate" dataDxfId="36"/>
    <tableColumn id="3" xr3:uid="{B7913036-7BF2-4E3E-A00F-1BAC1D710DDC}" name="Cases Averted" dataDxfId="35" dataCellStyle="Percent"/>
    <tableColumn id="4" xr3:uid="{B8ECF4E4-6BC8-4C1F-9AFA-0C619DBC6090}" name="Cost/DALY" dataDxfId="34"/>
    <tableColumn id="5" xr3:uid="{B48EDCC8-84E7-4664-8DD7-9D79C5494EB4}" name="Cost" dataDxfId="33" dataCellStyle="Currency"/>
    <tableColumn id="6" xr3:uid="{0ACC0B7D-57C5-4C7E-84E6-2066CB3FCB00}" name="DALYs" dataDxfId="32"/>
    <tableColumn id="7" xr3:uid="{80014B2B-BF9B-47B3-99C3-942D950EADDF}" name="Cost2" dataDxfId="31"/>
    <tableColumn id="8" xr3:uid="{67144F8A-F809-4792-8B3D-3BD0EC32AC04}" name="Cost Averted" dataDxfId="3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46F63D-EC17-476C-BE6A-224661C676ED}" name="Table13" displayName="Table13" ref="A82:R95" totalsRowShown="0" headerRowDxfId="29" dataDxfId="28" dataCellStyle="Percent">
  <autoFilter ref="A82:R95" xr:uid="{0046F63D-EC17-476C-BE6A-224661C676ED}"/>
  <tableColumns count="18">
    <tableColumn id="1" xr3:uid="{4D65A5A5-E744-4B1A-B4A8-6A5BA7A1DBBA}" name="Column1" dataDxfId="27"/>
    <tableColumn id="2" xr3:uid="{C00CE5EB-5374-4887-BF09-7DEB86C0EBB5}" name="CFR" dataDxfId="26" dataCellStyle="Percent">
      <calculatedColumnFormula>$E$36/$T$31/(3*$G$36)/$A$36/($A83*$C$31*$B$36/1000)</calculatedColumnFormula>
    </tableColumn>
    <tableColumn id="3" xr3:uid="{E2628C25-1F48-46DE-96B0-E0B2F690C3E8}" name="Column2" dataDxfId="25" dataCellStyle="Percent">
      <calculatedColumnFormula>$E$36/$T$31/$G$36/$A$36/($A83*$C$31*$B$36/1000)</calculatedColumnFormula>
    </tableColumn>
    <tableColumn id="4" xr3:uid="{46D45521-58EC-4700-AEC5-83C3C98BEBDC}" name="Column3" dataDxfId="24" dataCellStyle="Percent"/>
    <tableColumn id="5" xr3:uid="{8660534B-D670-4F83-A793-6926B06B19EB}" name="Column4" dataDxfId="23" dataCellStyle="Percent">
      <calculatedColumnFormula>$E$36/$T$31/(3*$G$36)/$C$71/($A83*$C$31*$B$36/1000)</calculatedColumnFormula>
    </tableColumn>
    <tableColumn id="6" xr3:uid="{BEE43341-0AFE-425D-BC2D-567F74846EA0}" name="Column5" dataDxfId="22" dataCellStyle="Percent">
      <calculatedColumnFormula>$E$36/$T$31/(3*$G$36)/$C$73/($A83*$C$31*$B$36/1000)</calculatedColumnFormula>
    </tableColumn>
    <tableColumn id="7" xr3:uid="{DB2862A4-DBB2-4C88-85F2-98297FF43E3E}" name="Column6" dataDxfId="21" dataCellStyle="Percent">
      <calculatedColumnFormula>$E$36/$T$31/(3*$G$36)/$C$75/($A83*$C$31*$B$36/1000)</calculatedColumnFormula>
    </tableColumn>
    <tableColumn id="8" xr3:uid="{0AA1DBAB-9FB2-4162-B734-7FA8D643A4E2}" name="Column7" dataDxfId="20" dataCellStyle="Percent">
      <calculatedColumnFormula>$E$36/$T$31/(3*$G$36)/$C$77/($A83*$C$31*$B$36/1000)</calculatedColumnFormula>
    </tableColumn>
    <tableColumn id="9" xr3:uid="{5F05D175-7039-4AAF-8F14-629C5BBD905F}" name="Contour Plot (Cost per Fully Vaccinated)" dataDxfId="19" dataCellStyle="Percent">
      <calculatedColumnFormula>I$83*$C$31/$T$31/(3*$G$36)/$A$36/($A83*$C$31*$B$36/1000)</calculatedColumnFormula>
    </tableColumn>
    <tableColumn id="10" xr3:uid="{9A74AF1E-EDED-41BE-9744-906E05BCE89D}" name="Column8" dataDxfId="18" dataCellStyle="Percent">
      <calculatedColumnFormula>J$83*$C$31/$T$31/(3*$G$36)/$A$36/($A83*$C$31*$B$36/1000)</calculatedColumnFormula>
    </tableColumn>
    <tableColumn id="11" xr3:uid="{D8F9D0FD-BF84-4E57-A284-974668237FDB}" name="Column9" dataDxfId="17" dataCellStyle="Percent">
      <calculatedColumnFormula>K$83*$C$31/$T$31/(3*$G$36)/$A$36/($A83*$C$31*$B$36/1000)</calculatedColumnFormula>
    </tableColumn>
    <tableColumn id="12" xr3:uid="{B2B371B6-800C-4FF4-A109-D216455D7EEA}" name="Column10" dataDxfId="16" dataCellStyle="Percent">
      <calculatedColumnFormula>L$83*$C$31/$T$31/(3*$G$36)/$A$36/($A83*$C$31*$B$36/1000)</calculatedColumnFormula>
    </tableColumn>
    <tableColumn id="13" xr3:uid="{3EFB8FF6-E2B8-4EF6-8D65-7870EF97174B}" name="Column11" dataDxfId="15" dataCellStyle="Percent">
      <calculatedColumnFormula>M$83*$C$31/$T$31/(3*$G$36)/$A$36/($A83*$C$31*$B$36/1000)</calculatedColumnFormula>
    </tableColumn>
    <tableColumn id="14" xr3:uid="{CD144E6D-2312-44A8-BF40-9020C3D78F8B}" name="Column12" dataDxfId="14" dataCellStyle="Percent">
      <calculatedColumnFormula>N$83*$C$31/$T$31/(3*$G$36)/$A$36/($A83*$C$31*$B$36/1000)</calculatedColumnFormula>
    </tableColumn>
    <tableColumn id="15" xr3:uid="{0CB27026-4F51-47C7-B9C4-25F069DEFF9A}" name="Column13" dataDxfId="13" dataCellStyle="Percent">
      <calculatedColumnFormula>O$83*$C$31/$T$31/(3*$G$36)/$A$36/($A83*$C$31*$B$36/1000)</calculatedColumnFormula>
    </tableColumn>
    <tableColumn id="16" xr3:uid="{BE1108C8-C8D5-4B23-A3C8-23F0D710E041}" name="Column14" dataDxfId="12" dataCellStyle="Percent">
      <calculatedColumnFormula>P$83*$C$31/$T$31/(3*$G$36)/$A$36/($A83*$C$31*$B$36/1000)</calculatedColumnFormula>
    </tableColumn>
    <tableColumn id="17" xr3:uid="{006A59AA-2DE5-47C3-A7E0-DE13395BB5C0}" name="Column15" dataDxfId="11" dataCellStyle="Percent">
      <calculatedColumnFormula>Q$83*$C$31/$T$31/(3*$G$36)/$A$36/($A83*$C$31*$B$36/1000)</calculatedColumnFormula>
    </tableColumn>
    <tableColumn id="18" xr3:uid="{B91515E5-3A06-4EDD-9409-C4A465681CF5}" name="Column16" dataDxfId="10" dataCellStyle="Percent">
      <calculatedColumnFormula>R$83*$C$31/$T$31/(3*$G$36)/$A$36/($A83*$C$31*$B$36/1000)</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4B6E43-56C7-43B2-91C7-40C957C5FB51}" name="Table14" displayName="Table14" ref="A98:G111" totalsRowShown="0" headerRowDxfId="9" dataDxfId="7" headerRowBorderDxfId="8">
  <autoFilter ref="A98:G111" xr:uid="{3D4B6E43-56C7-43B2-91C7-40C957C5FB51}"/>
  <tableColumns count="7">
    <tableColumn id="1" xr3:uid="{020DD122-890A-483E-998E-AC8310E911A2}" name="Vaccine Cost" dataDxfId="6" dataCellStyle="Currency"/>
    <tableColumn id="2" xr3:uid="{A4F33A03-C5D6-4F30-85FC-478AC1805954}" name="$/DALY 1 Year" dataDxfId="5" dataCellStyle="Currency">
      <calculatedColumnFormula>($C$31*A99-$K$36/$B$36)/$M$31</calculatedColumnFormula>
    </tableColumn>
    <tableColumn id="3" xr3:uid="{B3646926-400F-46BF-8656-35B75D7BF865}" name="$/DALY 3 Years" dataDxfId="4" dataCellStyle="Currency">
      <calculatedColumnFormula>($C$31*A99-$K$36/$B$36*3)/($M$31+$N$31+$O$31)</calculatedColumnFormula>
    </tableColumn>
    <tableColumn id="4" xr3:uid="{A0EAEEB1-9836-4FCD-97E5-345A897C85E9}" name="$/DALY 5 Years" dataDxfId="3" dataCellStyle="Currency">
      <calculatedColumnFormula>($C$31*A99-$K$36/$B$36*5)/($M$31+$N$31+$O$31+$P$31+$Q$31)</calculatedColumnFormula>
    </tableColumn>
    <tableColumn id="5" xr3:uid="{3D11B470-5949-42FF-9EB5-529D13D117C7}" name="45% VE" dataDxfId="2">
      <calculatedColumnFormula>((A99*$C$31)-($E$31*0.45*$H$36))/($R$32*0.45)</calculatedColumnFormula>
    </tableColumn>
    <tableColumn id="6" xr3:uid="{733DABF8-A4FA-4D89-8AD4-D93AE24FF740}" name="75% VE" dataDxfId="1">
      <calculatedColumnFormula>((A99*$C$31)-($E$31*0.75*$H$36))/($R$32*0.75)</calculatedColumnFormula>
    </tableColumn>
    <tableColumn id="7" xr3:uid="{289BBFB5-AEBF-4A52-BFE5-67848427204C}" name="65% VE" dataDxfId="0">
      <calculatedColumnFormula>((A99*$C$31)-($E$31*0.65*$H$36))/($R$32*0.65)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troeger@fhcrc.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L33"/>
  <sheetViews>
    <sheetView topLeftCell="A14" workbookViewId="0">
      <selection activeCell="A36" sqref="A36"/>
    </sheetView>
  </sheetViews>
  <sheetFormatPr defaultColWidth="10.75" defaultRowHeight="15.75" x14ac:dyDescent="0.25"/>
  <cols>
    <col min="1" max="1" width="110.125" style="103" customWidth="1"/>
    <col min="2" max="16384" width="10.75" style="1"/>
  </cols>
  <sheetData>
    <row r="1" spans="1:12" ht="24" thickBot="1" x14ac:dyDescent="0.4">
      <c r="A1" s="279" t="s">
        <v>117</v>
      </c>
      <c r="B1" s="290"/>
      <c r="C1" s="290"/>
      <c r="D1" s="290"/>
      <c r="E1" s="290"/>
      <c r="F1" s="290"/>
      <c r="G1" s="290"/>
      <c r="H1" s="290"/>
      <c r="I1" s="290"/>
      <c r="J1" s="290"/>
      <c r="K1" s="290"/>
    </row>
    <row r="2" spans="1:12" ht="16.5" thickTop="1" x14ac:dyDescent="0.25"/>
    <row r="3" spans="1:12" ht="36" x14ac:dyDescent="0.25">
      <c r="A3" s="289" t="s">
        <v>279</v>
      </c>
      <c r="B3" s="91"/>
      <c r="C3" s="91"/>
      <c r="D3" s="91"/>
      <c r="E3" s="91"/>
      <c r="F3" s="91"/>
      <c r="G3" s="91"/>
      <c r="H3" s="91"/>
      <c r="I3" s="91"/>
      <c r="J3" s="91"/>
      <c r="K3" s="91"/>
    </row>
    <row r="4" spans="1:12" ht="18" x14ac:dyDescent="0.25">
      <c r="A4" s="91"/>
      <c r="B4" s="91"/>
      <c r="C4" s="91"/>
      <c r="D4" s="91"/>
      <c r="E4" s="91"/>
      <c r="F4" s="91"/>
      <c r="G4" s="91"/>
    </row>
    <row r="5" spans="1:12" ht="18" x14ac:dyDescent="0.25">
      <c r="A5" s="91"/>
    </row>
    <row r="6" spans="1:12" ht="18" x14ac:dyDescent="0.25">
      <c r="A6" s="91" t="s">
        <v>254</v>
      </c>
      <c r="B6" s="91"/>
      <c r="C6" s="91"/>
      <c r="D6" s="91"/>
      <c r="E6" s="91"/>
      <c r="F6" s="91"/>
      <c r="G6" s="91"/>
      <c r="H6" s="91"/>
      <c r="I6" s="91"/>
      <c r="J6" s="158"/>
      <c r="K6" s="158"/>
      <c r="L6" s="158"/>
    </row>
    <row r="7" spans="1:12" ht="18" x14ac:dyDescent="0.25">
      <c r="A7" s="91" t="s">
        <v>73</v>
      </c>
      <c r="B7" s="91"/>
      <c r="C7" s="91"/>
      <c r="D7" s="91"/>
      <c r="E7" s="91"/>
      <c r="F7" s="91"/>
      <c r="G7" s="91"/>
      <c r="H7" s="91"/>
      <c r="I7" s="91"/>
      <c r="J7" s="91"/>
      <c r="K7" s="158"/>
      <c r="L7" s="158"/>
    </row>
    <row r="8" spans="1:12" ht="72.75" thickBot="1" x14ac:dyDescent="0.3">
      <c r="A8" s="292" t="s">
        <v>280</v>
      </c>
      <c r="B8" s="289"/>
      <c r="C8" s="289"/>
      <c r="D8" s="289"/>
      <c r="E8" s="289"/>
      <c r="F8" s="289"/>
      <c r="G8" s="289"/>
      <c r="H8" s="289"/>
      <c r="I8" s="289"/>
      <c r="J8" s="289"/>
      <c r="K8" s="158"/>
      <c r="L8" s="158"/>
    </row>
    <row r="9" spans="1:12" ht="16.5" thickTop="1" x14ac:dyDescent="0.25">
      <c r="A9" s="159"/>
      <c r="B9" s="158"/>
      <c r="C9" s="158"/>
      <c r="D9" s="158"/>
      <c r="E9" s="158"/>
      <c r="F9" s="158"/>
      <c r="G9" s="158"/>
      <c r="H9" s="158"/>
      <c r="I9" s="158"/>
      <c r="J9" s="158"/>
      <c r="K9" s="158"/>
      <c r="L9" s="158"/>
    </row>
    <row r="10" spans="1:12" ht="20.25" x14ac:dyDescent="0.3">
      <c r="A10" s="278" t="s">
        <v>255</v>
      </c>
      <c r="B10" s="278"/>
      <c r="C10" s="278"/>
      <c r="D10" s="278"/>
      <c r="E10" s="278"/>
      <c r="F10" s="278"/>
      <c r="G10" s="278"/>
      <c r="H10" s="278"/>
      <c r="I10" s="278"/>
      <c r="J10" s="278"/>
      <c r="K10" s="158"/>
      <c r="L10" s="158"/>
    </row>
    <row r="11" spans="1:12" ht="108.75" thickBot="1" x14ac:dyDescent="0.3">
      <c r="A11" s="292" t="s">
        <v>281</v>
      </c>
      <c r="B11" s="91"/>
      <c r="C11" s="91"/>
      <c r="D11" s="91"/>
      <c r="E11" s="91"/>
      <c r="F11" s="91"/>
      <c r="G11" s="91"/>
      <c r="H11" s="91"/>
      <c r="I11" s="91"/>
      <c r="J11" s="91"/>
      <c r="K11" s="158"/>
      <c r="L11" s="158"/>
    </row>
    <row r="12" spans="1:12" ht="18.75" thickTop="1" x14ac:dyDescent="0.25">
      <c r="A12" s="160"/>
      <c r="B12" s="158"/>
      <c r="C12" s="158"/>
      <c r="D12" s="158"/>
      <c r="E12" s="158"/>
      <c r="F12" s="158"/>
      <c r="G12" s="158"/>
      <c r="H12" s="158"/>
      <c r="I12" s="158"/>
      <c r="J12" s="158"/>
      <c r="K12" s="158"/>
      <c r="L12" s="158"/>
    </row>
    <row r="13" spans="1:12" ht="20.25" x14ac:dyDescent="0.3">
      <c r="A13" s="278" t="s">
        <v>256</v>
      </c>
      <c r="B13" s="278"/>
      <c r="C13" s="278"/>
      <c r="D13" s="278"/>
      <c r="E13" s="278"/>
      <c r="F13" s="278"/>
      <c r="G13" s="278"/>
      <c r="H13" s="278"/>
      <c r="I13" s="278"/>
      <c r="J13" s="278"/>
      <c r="K13" s="158"/>
      <c r="L13" s="158"/>
    </row>
    <row r="14" spans="1:12" ht="36" x14ac:dyDescent="0.25">
      <c r="A14" s="289" t="s">
        <v>282</v>
      </c>
      <c r="B14" s="91"/>
      <c r="C14" s="91"/>
      <c r="D14" s="91"/>
      <c r="E14" s="91"/>
      <c r="F14" s="91"/>
      <c r="G14" s="91"/>
      <c r="H14" s="91"/>
      <c r="I14" s="91"/>
      <c r="J14" s="91"/>
      <c r="K14" s="158"/>
      <c r="L14" s="158"/>
    </row>
    <row r="15" spans="1:12" x14ac:dyDescent="0.25">
      <c r="K15" s="158"/>
      <c r="L15" s="158"/>
    </row>
    <row r="16" spans="1:12" ht="108.75" thickBot="1" x14ac:dyDescent="0.3">
      <c r="A16" s="292" t="s">
        <v>283</v>
      </c>
      <c r="B16" s="91"/>
      <c r="C16" s="91"/>
      <c r="D16" s="91"/>
      <c r="E16" s="91"/>
      <c r="F16" s="158"/>
      <c r="G16" s="158"/>
      <c r="H16" s="158"/>
      <c r="I16" s="158"/>
      <c r="J16" s="158"/>
      <c r="K16" s="158"/>
      <c r="L16" s="158"/>
    </row>
    <row r="17" spans="1:12" ht="16.5" thickTop="1" x14ac:dyDescent="0.25">
      <c r="A17" s="159"/>
      <c r="B17" s="158"/>
      <c r="C17" s="158"/>
      <c r="D17" s="158"/>
      <c r="E17" s="158"/>
      <c r="F17" s="158"/>
      <c r="G17" s="158"/>
      <c r="H17" s="158"/>
      <c r="I17" s="158"/>
      <c r="J17" s="158"/>
      <c r="K17" s="158"/>
      <c r="L17" s="158"/>
    </row>
    <row r="18" spans="1:12" ht="20.25" x14ac:dyDescent="0.3">
      <c r="A18" s="278" t="s">
        <v>67</v>
      </c>
      <c r="B18" s="293"/>
      <c r="C18" s="293"/>
      <c r="D18" s="293"/>
      <c r="E18" s="293"/>
      <c r="F18" s="293"/>
      <c r="G18" s="293"/>
      <c r="H18" s="293"/>
      <c r="I18" s="293"/>
      <c r="J18" s="293"/>
      <c r="K18" s="158"/>
      <c r="L18" s="158"/>
    </row>
    <row r="19" spans="1:12" ht="18" x14ac:dyDescent="0.25">
      <c r="A19" s="91" t="s">
        <v>118</v>
      </c>
      <c r="B19" s="91"/>
      <c r="C19" s="91"/>
      <c r="D19" s="91"/>
      <c r="E19" s="91"/>
      <c r="F19" s="91"/>
      <c r="G19" s="91"/>
      <c r="H19" s="91"/>
      <c r="I19" s="91"/>
      <c r="J19" s="91"/>
      <c r="K19" s="158"/>
      <c r="L19" s="158"/>
    </row>
    <row r="20" spans="1:12" ht="18" x14ac:dyDescent="0.25">
      <c r="A20" s="91" t="s">
        <v>68</v>
      </c>
      <c r="B20" s="91"/>
      <c r="C20" s="91"/>
      <c r="D20" s="91"/>
      <c r="E20" s="91"/>
      <c r="F20" s="91"/>
      <c r="G20" s="91"/>
      <c r="H20" s="91"/>
      <c r="I20" s="91"/>
      <c r="J20" s="91"/>
      <c r="K20" s="91"/>
      <c r="L20" s="91"/>
    </row>
    <row r="21" spans="1:12" ht="18.75" thickBot="1" x14ac:dyDescent="0.3">
      <c r="A21" s="291" t="s">
        <v>76</v>
      </c>
      <c r="B21" s="91"/>
      <c r="C21" s="91"/>
      <c r="D21" s="91"/>
      <c r="E21" s="91"/>
      <c r="F21" s="91"/>
      <c r="G21" s="91"/>
      <c r="H21" s="91"/>
      <c r="I21" s="91"/>
      <c r="J21" s="91"/>
      <c r="K21" s="91"/>
      <c r="L21" s="158"/>
    </row>
    <row r="22" spans="1:12" ht="18.75" thickTop="1" x14ac:dyDescent="0.25">
      <c r="A22" s="91"/>
    </row>
    <row r="23" spans="1:12" ht="18" x14ac:dyDescent="0.25">
      <c r="A23" s="91" t="s">
        <v>69</v>
      </c>
    </row>
    <row r="24" spans="1:12" ht="18" x14ac:dyDescent="0.25">
      <c r="A24" s="91"/>
    </row>
    <row r="25" spans="1:12" ht="18" x14ac:dyDescent="0.25">
      <c r="A25" s="91" t="s">
        <v>72</v>
      </c>
    </row>
    <row r="26" spans="1:12" ht="18" x14ac:dyDescent="0.25">
      <c r="A26" s="91"/>
    </row>
    <row r="27" spans="1:12" ht="18" x14ac:dyDescent="0.25">
      <c r="A27" s="14" t="s">
        <v>119</v>
      </c>
    </row>
    <row r="28" spans="1:12" ht="18" x14ac:dyDescent="0.25">
      <c r="A28" s="91" t="s">
        <v>210</v>
      </c>
    </row>
    <row r="29" spans="1:12" ht="18" x14ac:dyDescent="0.25">
      <c r="A29" s="91" t="s">
        <v>70</v>
      </c>
    </row>
    <row r="30" spans="1:12" ht="18" x14ac:dyDescent="0.25">
      <c r="A30" s="91" t="s">
        <v>211</v>
      </c>
    </row>
    <row r="31" spans="1:12" ht="18" x14ac:dyDescent="0.25">
      <c r="A31" s="149" t="s">
        <v>71</v>
      </c>
    </row>
    <row r="32" spans="1:12" ht="18" x14ac:dyDescent="0.25">
      <c r="A32" s="91"/>
    </row>
    <row r="33" spans="1:1" ht="18" x14ac:dyDescent="0.25">
      <c r="A33" s="234" t="s">
        <v>257</v>
      </c>
    </row>
  </sheetData>
  <sheetProtection selectLockedCells="1" selectUnlockedCells="1"/>
  <hyperlinks>
    <hyperlink ref="A31" r:id="rId1" tooltip="mailto:ctroeger@fhcrc.org" xr:uid="{00000000-0004-0000-0000-000000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0"/>
  <sheetViews>
    <sheetView topLeftCell="C1" zoomScale="85" zoomScaleNormal="85" workbookViewId="0">
      <selection activeCell="C45" sqref="C45"/>
    </sheetView>
  </sheetViews>
  <sheetFormatPr defaultColWidth="8.75" defaultRowHeight="15.75" x14ac:dyDescent="0.25"/>
  <cols>
    <col min="1" max="1" width="119.25" style="1" customWidth="1"/>
    <col min="2" max="2" width="28.25" style="1" bestFit="1" customWidth="1"/>
    <col min="3" max="3" width="111.75" style="1" bestFit="1" customWidth="1"/>
    <col min="4" max="4" width="8.75" style="1"/>
    <col min="5" max="5" width="10.25" style="1" bestFit="1" customWidth="1"/>
    <col min="6" max="7" width="8.75" style="1"/>
    <col min="8" max="8" width="21.5" style="158" customWidth="1"/>
    <col min="9" max="12" width="8.75" style="1"/>
    <col min="13" max="13" width="4.25" style="1" customWidth="1"/>
    <col min="14" max="19" width="8.75" style="1"/>
    <col min="20" max="20" width="14.25" style="1" customWidth="1"/>
    <col min="21" max="16384" width="8.75" style="1"/>
  </cols>
  <sheetData>
    <row r="1" spans="1:12" ht="408.6" customHeight="1" x14ac:dyDescent="0.3">
      <c r="A1" s="304" t="s">
        <v>270</v>
      </c>
      <c r="B1" s="294"/>
      <c r="H1" s="1"/>
    </row>
    <row r="2" spans="1:12" ht="18" customHeight="1" x14ac:dyDescent="0.3">
      <c r="A2" s="255"/>
      <c r="B2" s="255"/>
      <c r="C2" s="255"/>
      <c r="D2" s="255"/>
      <c r="E2" s="255"/>
      <c r="F2" s="255"/>
      <c r="G2" s="255"/>
      <c r="H2" s="255"/>
      <c r="I2" s="255"/>
      <c r="J2" s="255"/>
      <c r="K2" s="255"/>
      <c r="L2" s="255"/>
    </row>
    <row r="3" spans="1:12" ht="18.75" x14ac:dyDescent="0.3">
      <c r="A3" s="237" t="s">
        <v>221</v>
      </c>
    </row>
    <row r="4" spans="1:12" ht="31.5" x14ac:dyDescent="0.25">
      <c r="A4" s="224"/>
      <c r="B4" s="283" t="s">
        <v>222</v>
      </c>
      <c r="C4" s="226" t="s">
        <v>223</v>
      </c>
      <c r="H4" s="1"/>
    </row>
    <row r="5" spans="1:12" ht="18.75" x14ac:dyDescent="0.3">
      <c r="A5" s="227" t="s">
        <v>224</v>
      </c>
      <c r="B5" s="259">
        <v>1.85</v>
      </c>
      <c r="C5" s="229" t="s">
        <v>225</v>
      </c>
      <c r="H5" s="1"/>
    </row>
    <row r="6" spans="1:12" ht="18.75" x14ac:dyDescent="0.3">
      <c r="A6" s="227" t="s">
        <v>226</v>
      </c>
      <c r="B6" s="260">
        <v>2</v>
      </c>
      <c r="C6" s="229" t="s">
        <v>227</v>
      </c>
      <c r="H6" s="1"/>
    </row>
    <row r="7" spans="1:12" ht="18.75" x14ac:dyDescent="0.3">
      <c r="A7" s="227" t="s">
        <v>228</v>
      </c>
      <c r="B7" s="259">
        <v>1</v>
      </c>
      <c r="C7" s="229" t="s">
        <v>229</v>
      </c>
      <c r="H7" s="1"/>
    </row>
    <row r="8" spans="1:12" ht="18.75" x14ac:dyDescent="0.3">
      <c r="A8" s="227" t="s">
        <v>230</v>
      </c>
      <c r="B8" s="261">
        <v>5</v>
      </c>
      <c r="C8" s="229" t="s">
        <v>231</v>
      </c>
      <c r="H8" s="1"/>
    </row>
    <row r="9" spans="1:12" ht="18.75" x14ac:dyDescent="0.3">
      <c r="A9" s="227" t="s">
        <v>232</v>
      </c>
      <c r="B9" s="259">
        <v>30</v>
      </c>
      <c r="C9" s="229" t="s">
        <v>233</v>
      </c>
      <c r="H9" s="1"/>
    </row>
    <row r="10" spans="1:12" ht="18.75" x14ac:dyDescent="0.3">
      <c r="A10" s="227" t="s">
        <v>234</v>
      </c>
      <c r="B10" s="259">
        <v>750</v>
      </c>
      <c r="C10" s="229" t="s">
        <v>235</v>
      </c>
      <c r="H10" s="1"/>
    </row>
    <row r="11" spans="1:12" x14ac:dyDescent="0.25">
      <c r="A11" s="230"/>
      <c r="B11" s="231"/>
      <c r="C11" s="232"/>
      <c r="H11" s="1"/>
    </row>
    <row r="12" spans="1:12" ht="82.15" customHeight="1" x14ac:dyDescent="0.3">
      <c r="A12" s="284" t="s">
        <v>236</v>
      </c>
      <c r="B12" s="284"/>
      <c r="C12" s="284"/>
      <c r="D12" s="284"/>
      <c r="E12" s="284"/>
      <c r="F12" s="284"/>
      <c r="G12" s="284"/>
      <c r="H12" s="284"/>
      <c r="I12" s="284"/>
      <c r="J12" s="284"/>
      <c r="K12" s="284"/>
    </row>
    <row r="14" spans="1:12" x14ac:dyDescent="0.25">
      <c r="A14" s="224" t="s">
        <v>237</v>
      </c>
      <c r="B14" s="225"/>
      <c r="C14" s="226"/>
      <c r="H14" s="1"/>
    </row>
    <row r="15" spans="1:12" ht="48" x14ac:dyDescent="0.3">
      <c r="A15" s="228" t="s">
        <v>238</v>
      </c>
      <c r="B15" s="262">
        <v>1</v>
      </c>
      <c r="C15" s="285" t="s">
        <v>278</v>
      </c>
      <c r="H15" s="1"/>
    </row>
    <row r="16" spans="1:12" ht="18.75" x14ac:dyDescent="0.3">
      <c r="A16" s="228" t="s">
        <v>271</v>
      </c>
      <c r="B16" s="262">
        <v>0</v>
      </c>
      <c r="C16" s="229"/>
      <c r="H16" s="1"/>
    </row>
    <row r="17" spans="1:8" ht="18.75" x14ac:dyDescent="0.3">
      <c r="A17" s="228" t="s">
        <v>272</v>
      </c>
      <c r="B17" s="262">
        <v>0</v>
      </c>
      <c r="C17" s="229"/>
      <c r="H17" s="1"/>
    </row>
    <row r="18" spans="1:8" ht="18.75" x14ac:dyDescent="0.3">
      <c r="A18" s="231" t="s">
        <v>273</v>
      </c>
      <c r="B18" s="263">
        <v>0</v>
      </c>
      <c r="C18" s="232"/>
      <c r="H18" s="1"/>
    </row>
    <row r="19" spans="1:8" ht="18.75" x14ac:dyDescent="0.3">
      <c r="H19" s="264"/>
    </row>
    <row r="20" spans="1:8" x14ac:dyDescent="0.25">
      <c r="A20" s="224" t="s">
        <v>239</v>
      </c>
      <c r="B20" s="225"/>
      <c r="C20" s="226"/>
      <c r="H20" s="1"/>
    </row>
    <row r="21" spans="1:8" ht="18.75" x14ac:dyDescent="0.3">
      <c r="A21" s="228" t="s">
        <v>240</v>
      </c>
      <c r="B21" s="265">
        <v>2</v>
      </c>
      <c r="C21" s="229"/>
      <c r="H21" s="1"/>
    </row>
    <row r="22" spans="1:8" ht="18.75" x14ac:dyDescent="0.3">
      <c r="A22" s="228" t="s">
        <v>241</v>
      </c>
      <c r="B22" s="265">
        <v>0</v>
      </c>
      <c r="C22" s="229"/>
      <c r="H22" s="1"/>
    </row>
    <row r="23" spans="1:8" ht="18.75" x14ac:dyDescent="0.3">
      <c r="A23" s="228" t="s">
        <v>242</v>
      </c>
      <c r="B23" s="265">
        <v>0</v>
      </c>
      <c r="C23" s="229"/>
      <c r="H23" s="1"/>
    </row>
    <row r="24" spans="1:8" ht="18.75" x14ac:dyDescent="0.3">
      <c r="A24" s="231" t="s">
        <v>243</v>
      </c>
      <c r="B24" s="266">
        <v>0</v>
      </c>
      <c r="C24" s="232"/>
      <c r="H24" s="1"/>
    </row>
    <row r="25" spans="1:8" ht="18.75" x14ac:dyDescent="0.3">
      <c r="H25" s="267"/>
    </row>
    <row r="26" spans="1:8" ht="36" customHeight="1" x14ac:dyDescent="0.25">
      <c r="A26" s="282" t="s">
        <v>244</v>
      </c>
      <c r="B26" s="283"/>
      <c r="C26" s="226"/>
      <c r="G26" s="25"/>
      <c r="H26" s="1"/>
    </row>
    <row r="27" spans="1:8" ht="18.75" x14ac:dyDescent="0.3">
      <c r="A27" s="228" t="s">
        <v>240</v>
      </c>
      <c r="B27" s="268">
        <v>1.4999999999999999E-2</v>
      </c>
      <c r="C27" s="229"/>
      <c r="H27" s="1"/>
    </row>
    <row r="28" spans="1:8" ht="18.75" x14ac:dyDescent="0.3">
      <c r="A28" s="228" t="s">
        <v>241</v>
      </c>
      <c r="B28" s="268">
        <v>0</v>
      </c>
      <c r="C28" s="229"/>
      <c r="H28" s="1"/>
    </row>
    <row r="29" spans="1:8" ht="18.75" x14ac:dyDescent="0.3">
      <c r="A29" s="228" t="s">
        <v>242</v>
      </c>
      <c r="B29" s="268">
        <v>0</v>
      </c>
      <c r="C29" s="229"/>
      <c r="H29" s="1"/>
    </row>
    <row r="30" spans="1:8" ht="18.75" x14ac:dyDescent="0.3">
      <c r="A30" s="231" t="s">
        <v>243</v>
      </c>
      <c r="B30" s="269">
        <v>0</v>
      </c>
      <c r="C30" s="232"/>
      <c r="H30" s="1"/>
    </row>
    <row r="31" spans="1:8" ht="16.899999999999999" customHeight="1" x14ac:dyDescent="0.25"/>
    <row r="32" spans="1:8" ht="87" customHeight="1" x14ac:dyDescent="0.25">
      <c r="A32" s="282" t="s">
        <v>245</v>
      </c>
      <c r="B32" s="283"/>
      <c r="C32" s="226"/>
      <c r="H32" s="1"/>
    </row>
    <row r="33" spans="1:8" ht="18.75" x14ac:dyDescent="0.3">
      <c r="A33" s="228" t="s">
        <v>240</v>
      </c>
      <c r="B33" s="262">
        <v>0.65</v>
      </c>
      <c r="C33" s="229"/>
      <c r="H33" s="1"/>
    </row>
    <row r="34" spans="1:8" ht="18.75" x14ac:dyDescent="0.3">
      <c r="A34" s="228" t="s">
        <v>241</v>
      </c>
      <c r="B34" s="270">
        <v>0</v>
      </c>
      <c r="C34" s="229"/>
      <c r="H34" s="1"/>
    </row>
    <row r="35" spans="1:8" ht="18.75" x14ac:dyDescent="0.3">
      <c r="A35" s="228" t="s">
        <v>242</v>
      </c>
      <c r="B35" s="270">
        <v>0</v>
      </c>
      <c r="C35" s="229"/>
      <c r="H35" s="1"/>
    </row>
    <row r="36" spans="1:8" ht="19.149999999999999" customHeight="1" x14ac:dyDescent="0.3">
      <c r="A36" s="231" t="s">
        <v>243</v>
      </c>
      <c r="B36" s="271">
        <v>0</v>
      </c>
      <c r="C36" s="232"/>
      <c r="H36" s="1"/>
    </row>
    <row r="38" spans="1:8" ht="51" customHeight="1" x14ac:dyDescent="0.25">
      <c r="A38" s="282" t="s">
        <v>275</v>
      </c>
      <c r="B38" s="283"/>
      <c r="C38" s="226"/>
      <c r="H38" s="1"/>
    </row>
    <row r="39" spans="1:8" ht="18.75" x14ac:dyDescent="0.3">
      <c r="A39" s="228" t="s">
        <v>240</v>
      </c>
      <c r="B39" s="265">
        <v>40</v>
      </c>
      <c r="C39" s="229"/>
      <c r="H39" s="1"/>
    </row>
    <row r="40" spans="1:8" ht="18.75" x14ac:dyDescent="0.3">
      <c r="A40" s="228" t="s">
        <v>241</v>
      </c>
      <c r="B40" s="265">
        <v>0</v>
      </c>
      <c r="C40" s="229"/>
      <c r="H40" s="1"/>
    </row>
    <row r="41" spans="1:8" ht="18.75" x14ac:dyDescent="0.3">
      <c r="A41" s="228" t="s">
        <v>242</v>
      </c>
      <c r="B41" s="265">
        <v>0</v>
      </c>
      <c r="C41" s="229"/>
      <c r="H41" s="1"/>
    </row>
    <row r="42" spans="1:8" ht="18.75" x14ac:dyDescent="0.3">
      <c r="A42" s="231" t="s">
        <v>243</v>
      </c>
      <c r="B42" s="266">
        <v>0</v>
      </c>
      <c r="C42" s="232"/>
      <c r="H42" s="1"/>
    </row>
    <row r="44" spans="1:8" ht="64.900000000000006" customHeight="1" x14ac:dyDescent="0.25">
      <c r="A44" s="282" t="s">
        <v>266</v>
      </c>
      <c r="B44" s="283"/>
      <c r="C44" s="226"/>
      <c r="H44" s="1"/>
    </row>
    <row r="45" spans="1:8" ht="18.75" x14ac:dyDescent="0.3">
      <c r="A45" s="231" t="s">
        <v>246</v>
      </c>
      <c r="B45" s="263">
        <v>0.03</v>
      </c>
      <c r="C45" s="232"/>
      <c r="H45" s="1"/>
    </row>
    <row r="47" spans="1:8" x14ac:dyDescent="0.25">
      <c r="A47" s="224" t="s">
        <v>247</v>
      </c>
      <c r="B47" s="225"/>
      <c r="C47" s="226"/>
      <c r="H47" s="1"/>
    </row>
    <row r="48" spans="1:8" ht="18.75" x14ac:dyDescent="0.3">
      <c r="A48" s="228" t="s">
        <v>248</v>
      </c>
      <c r="B48" s="261">
        <v>4</v>
      </c>
      <c r="C48" s="229"/>
      <c r="H48" s="1"/>
    </row>
    <row r="49" spans="1:11" ht="67.900000000000006" customHeight="1" x14ac:dyDescent="0.25">
      <c r="A49" s="280" t="s">
        <v>268</v>
      </c>
      <c r="B49" s="280"/>
      <c r="C49" s="229"/>
      <c r="H49" s="1"/>
    </row>
    <row r="50" spans="1:11" ht="18.75" x14ac:dyDescent="0.3">
      <c r="A50" s="231" t="s">
        <v>249</v>
      </c>
      <c r="B50" s="272">
        <v>0.20200000000000001</v>
      </c>
      <c r="C50" s="232"/>
      <c r="H50" s="1"/>
    </row>
    <row r="52" spans="1:11" ht="76.900000000000006" customHeight="1" x14ac:dyDescent="0.3">
      <c r="A52" s="284" t="s">
        <v>267</v>
      </c>
      <c r="B52" s="284"/>
      <c r="C52" s="284"/>
      <c r="D52" s="284"/>
      <c r="E52" s="284"/>
      <c r="F52" s="284"/>
      <c r="G52" s="284"/>
      <c r="H52" s="284"/>
      <c r="I52" s="284"/>
      <c r="J52" s="284"/>
      <c r="K52" s="284"/>
    </row>
    <row r="53" spans="1:11" ht="16.5" thickBot="1" x14ac:dyDescent="0.3"/>
    <row r="54" spans="1:11" ht="21.75" thickBot="1" x14ac:dyDescent="0.4">
      <c r="A54" s="1" t="s">
        <v>284</v>
      </c>
      <c r="B54" s="295" t="s">
        <v>85</v>
      </c>
      <c r="C54" s="281" t="s">
        <v>276</v>
      </c>
      <c r="E54" s="158"/>
      <c r="H54" s="1"/>
    </row>
    <row r="55" spans="1:11" ht="19.5" thickBot="1" x14ac:dyDescent="0.35">
      <c r="A55" s="257" t="s">
        <v>250</v>
      </c>
      <c r="B55" s="296">
        <f>Calculations!V27</f>
        <v>2553.3571237546075</v>
      </c>
      <c r="C55" s="299">
        <f>Calculations!W27</f>
        <v>56461.538461538461</v>
      </c>
      <c r="F55" s="158"/>
      <c r="H55" s="1"/>
    </row>
    <row r="56" spans="1:11" ht="19.5" thickBot="1" x14ac:dyDescent="0.35">
      <c r="A56" s="258" t="s">
        <v>251</v>
      </c>
      <c r="B56" s="297">
        <f>Calculations!V28</f>
        <v>0</v>
      </c>
      <c r="C56" s="299">
        <f>Calculations!W28</f>
        <v>0</v>
      </c>
      <c r="F56" s="158"/>
      <c r="H56" s="1"/>
    </row>
    <row r="57" spans="1:11" ht="19.5" thickBot="1" x14ac:dyDescent="0.35">
      <c r="A57" s="258" t="s">
        <v>252</v>
      </c>
      <c r="B57" s="297">
        <f>Calculations!V29</f>
        <v>0</v>
      </c>
      <c r="C57" s="299">
        <f>Calculations!W29</f>
        <v>0</v>
      </c>
      <c r="F57" s="158"/>
      <c r="H57" s="1"/>
    </row>
    <row r="58" spans="1:11" ht="19.5" thickBot="1" x14ac:dyDescent="0.35">
      <c r="A58" s="258" t="s">
        <v>253</v>
      </c>
      <c r="B58" s="297">
        <f>Calculations!V30</f>
        <v>0</v>
      </c>
      <c r="C58" s="299">
        <f>Calculations!W30</f>
        <v>0</v>
      </c>
      <c r="F58" s="158"/>
      <c r="H58" s="1"/>
    </row>
    <row r="59" spans="1:11" ht="19.5" thickBot="1" x14ac:dyDescent="0.35">
      <c r="A59" s="258" t="s">
        <v>16</v>
      </c>
      <c r="B59" s="298">
        <f>Calculations!V31</f>
        <v>2553.3571237546075</v>
      </c>
      <c r="C59" s="299">
        <f>Calculations!W31</f>
        <v>56461.538461538461</v>
      </c>
      <c r="F59" s="158"/>
      <c r="H59" s="1"/>
    </row>
    <row r="60" spans="1:11" ht="19.5" thickBot="1" x14ac:dyDescent="0.35">
      <c r="A60" s="300" t="s">
        <v>274</v>
      </c>
      <c r="B60" s="301"/>
      <c r="C60" s="302"/>
      <c r="H60" s="1"/>
    </row>
  </sheetData>
  <sheetProtection selectLockedCells="1"/>
  <conditionalFormatting sqref="B55">
    <cfRule type="colorScale" priority="8">
      <colorScale>
        <cfvo type="num" val="$B$10"/>
        <cfvo type="num" val="$B$10*3"/>
        <cfvo type="max"/>
        <color rgb="FF54B468"/>
        <color rgb="FFFFEB84"/>
        <color theme="5"/>
      </colorScale>
    </cfRule>
  </conditionalFormatting>
  <conditionalFormatting sqref="B56:B58">
    <cfRule type="colorScale" priority="9">
      <colorScale>
        <cfvo type="num" val="$B$10"/>
        <cfvo type="num" val="$B$10*3"/>
        <cfvo type="max"/>
        <color rgb="FF54B468"/>
        <color rgb="FFFFEB84"/>
        <color theme="5"/>
      </colorScale>
    </cfRule>
  </conditionalFormatting>
  <conditionalFormatting sqref="B59">
    <cfRule type="colorScale" priority="10">
      <colorScale>
        <cfvo type="num" val="$B$10"/>
        <cfvo type="num" val="$B$10*3"/>
        <cfvo type="max"/>
        <color rgb="FF54B468"/>
        <color rgb="FFFFEB84"/>
        <color theme="5"/>
      </colorScale>
    </cfRule>
  </conditionalFormatting>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Z81"/>
  <sheetViews>
    <sheetView zoomScaleNormal="100" workbookViewId="0"/>
  </sheetViews>
  <sheetFormatPr defaultColWidth="10.75" defaultRowHeight="15" x14ac:dyDescent="0.2"/>
  <cols>
    <col min="1" max="1" width="33.5" style="4" customWidth="1"/>
    <col min="2" max="2" width="16.75" style="4" customWidth="1"/>
    <col min="3" max="3" width="14.75" style="4" hidden="1" customWidth="1"/>
    <col min="4" max="4" width="4.25" style="4" customWidth="1"/>
    <col min="5" max="5" width="27" style="4" customWidth="1"/>
    <col min="6" max="6" width="18.5" style="4" customWidth="1"/>
    <col min="7" max="7" width="9.25" style="4" customWidth="1"/>
    <col min="8" max="10" width="19.75" style="4" customWidth="1"/>
    <col min="11" max="13" width="14.75" style="4" customWidth="1"/>
    <col min="14" max="14" width="15.75" style="4" customWidth="1"/>
    <col min="15" max="15" width="12.75" style="4" customWidth="1"/>
    <col min="16" max="16" width="17.75" style="4" customWidth="1"/>
    <col min="17" max="21" width="10.75" style="4" customWidth="1"/>
    <col min="22" max="22" width="12.75" style="4" customWidth="1"/>
    <col min="23" max="24" width="10.75" style="4" customWidth="1"/>
    <col min="25" max="25" width="22" style="4" customWidth="1"/>
    <col min="26" max="16384" width="10.75" style="4"/>
  </cols>
  <sheetData>
    <row r="1" spans="1:26" ht="15.75" x14ac:dyDescent="0.25">
      <c r="A1" s="16"/>
      <c r="Z1" s="6"/>
    </row>
    <row r="2" spans="1:26" ht="21" thickBot="1" x14ac:dyDescent="0.35">
      <c r="A2" s="287" t="s">
        <v>24</v>
      </c>
      <c r="B2" s="309"/>
      <c r="E2" s="286" t="s">
        <v>10</v>
      </c>
      <c r="F2" s="286"/>
    </row>
    <row r="3" spans="1:26" ht="19.149999999999999" customHeight="1" thickTop="1" thickBot="1" x14ac:dyDescent="0.3">
      <c r="A3" s="201"/>
      <c r="B3" s="181"/>
      <c r="C3" s="5"/>
      <c r="E3" s="92" t="s">
        <v>61</v>
      </c>
      <c r="F3" s="23">
        <f>$B$4*($B$6+B5)*(B11+B12+B13+B14)</f>
        <v>570000</v>
      </c>
    </row>
    <row r="4" spans="1:26" ht="16.5" thickBot="1" x14ac:dyDescent="0.3">
      <c r="A4" s="202" t="s">
        <v>91</v>
      </c>
      <c r="B4" s="238">
        <v>100000</v>
      </c>
      <c r="C4" s="5"/>
      <c r="E4" s="21" t="s">
        <v>25</v>
      </c>
      <c r="F4" s="22">
        <f>F8*B8</f>
        <v>19500</v>
      </c>
    </row>
    <row r="5" spans="1:26" ht="15.75" x14ac:dyDescent="0.25">
      <c r="A5" s="303" t="s">
        <v>128</v>
      </c>
      <c r="B5" s="241">
        <f>'Entering the Data'!B5*'Entering the Data'!B6</f>
        <v>3.7</v>
      </c>
      <c r="C5" s="5"/>
      <c r="E5" s="93" t="s">
        <v>62</v>
      </c>
      <c r="F5" s="22">
        <f>F3-F4</f>
        <v>550500</v>
      </c>
    </row>
    <row r="6" spans="1:26" ht="15.75" x14ac:dyDescent="0.25">
      <c r="A6" s="170" t="s">
        <v>127</v>
      </c>
      <c r="B6" s="242">
        <f>'Entering the Data'!B7*'Entering the Data'!B6</f>
        <v>2</v>
      </c>
      <c r="C6" s="18"/>
      <c r="E6" s="21" t="s">
        <v>32</v>
      </c>
      <c r="F6" s="273">
        <f>Calculations!H31</f>
        <v>640.25</v>
      </c>
    </row>
    <row r="7" spans="1:26" ht="15.75" x14ac:dyDescent="0.25">
      <c r="A7" s="171" t="s">
        <v>126</v>
      </c>
      <c r="B7" s="243">
        <f>'Entering the Data'!B8</f>
        <v>5</v>
      </c>
      <c r="C7" s="39"/>
      <c r="E7" s="21" t="s">
        <v>7</v>
      </c>
      <c r="F7" s="274">
        <f>Calculations!I31</f>
        <v>9.75</v>
      </c>
    </row>
    <row r="8" spans="1:26" ht="15.75" x14ac:dyDescent="0.25">
      <c r="A8" s="170" t="s">
        <v>125</v>
      </c>
      <c r="B8" s="242">
        <f>'Entering the Data'!B9</f>
        <v>30</v>
      </c>
      <c r="C8" s="32"/>
      <c r="E8" s="28" t="s">
        <v>38</v>
      </c>
      <c r="F8" s="274">
        <f>F7+F6</f>
        <v>650</v>
      </c>
      <c r="L8" s="72"/>
      <c r="Q8" s="19"/>
      <c r="R8" s="72"/>
      <c r="S8" s="72"/>
    </row>
    <row r="9" spans="1:26" ht="15.75" x14ac:dyDescent="0.25">
      <c r="A9" s="172" t="s">
        <v>8</v>
      </c>
      <c r="B9" s="242">
        <f>'Entering the Data'!B10</f>
        <v>750</v>
      </c>
      <c r="C9" s="33"/>
      <c r="E9" s="113" t="s">
        <v>87</v>
      </c>
      <c r="F9" s="24">
        <f>B4/F7</f>
        <v>10256.410256410256</v>
      </c>
    </row>
    <row r="10" spans="1:26" ht="15.75" x14ac:dyDescent="0.25">
      <c r="A10" s="173" t="s">
        <v>124</v>
      </c>
      <c r="B10" s="6"/>
      <c r="C10" s="33"/>
      <c r="E10" s="113" t="s">
        <v>86</v>
      </c>
      <c r="F10" s="24">
        <f>B4/F8</f>
        <v>153.84615384615384</v>
      </c>
    </row>
    <row r="11" spans="1:26" ht="15.75" x14ac:dyDescent="0.25">
      <c r="A11" s="244" t="s">
        <v>250</v>
      </c>
      <c r="B11" s="245">
        <f>'Entering the Data'!B15</f>
        <v>1</v>
      </c>
      <c r="C11" s="33"/>
      <c r="E11" s="21" t="s">
        <v>36</v>
      </c>
      <c r="F11" s="274">
        <f>Calculations!R31</f>
        <v>215.59851337619088</v>
      </c>
    </row>
    <row r="12" spans="1:26" ht="16.5" thickBot="1" x14ac:dyDescent="0.3">
      <c r="A12" s="246" t="s">
        <v>251</v>
      </c>
      <c r="B12" s="245">
        <f>'Entering the Data'!B16</f>
        <v>0</v>
      </c>
      <c r="C12" s="33"/>
      <c r="E12" s="21" t="s">
        <v>35</v>
      </c>
      <c r="F12" s="26">
        <f>F5/F8</f>
        <v>846.92307692307691</v>
      </c>
      <c r="G12" s="15"/>
    </row>
    <row r="13" spans="1:26" ht="16.5" thickBot="1" x14ac:dyDescent="0.3">
      <c r="A13" s="246" t="s">
        <v>252</v>
      </c>
      <c r="B13" s="245">
        <f>'Entering the Data'!B17</f>
        <v>0</v>
      </c>
      <c r="C13" s="239">
        <f>B16/1000</f>
        <v>2E-3</v>
      </c>
      <c r="E13" s="90" t="s">
        <v>60</v>
      </c>
      <c r="F13" s="26">
        <f>F5/F7</f>
        <v>56461.538461538461</v>
      </c>
      <c r="I13" s="140"/>
      <c r="J13" s="140"/>
    </row>
    <row r="14" spans="1:26" ht="16.5" thickBot="1" x14ac:dyDescent="0.3">
      <c r="A14" s="246" t="s">
        <v>253</v>
      </c>
      <c r="B14" s="247">
        <f>'Entering the Data'!B18</f>
        <v>0</v>
      </c>
      <c r="C14" s="239">
        <f>B17/1000</f>
        <v>0</v>
      </c>
      <c r="E14" s="256" t="s">
        <v>269</v>
      </c>
      <c r="F14" s="155">
        <f>F5/Calculations!$R$31</f>
        <v>2553.3571237546075</v>
      </c>
      <c r="I14" s="140"/>
      <c r="J14" s="140"/>
    </row>
    <row r="15" spans="1:26" ht="16.5" thickBot="1" x14ac:dyDescent="0.3">
      <c r="A15" s="174" t="s">
        <v>78</v>
      </c>
      <c r="B15" s="129"/>
      <c r="C15" s="239">
        <f>B18/1000</f>
        <v>0</v>
      </c>
      <c r="E15" s="162" t="s">
        <v>135</v>
      </c>
      <c r="I15" s="140"/>
    </row>
    <row r="16" spans="1:26" ht="16.5" thickBot="1" x14ac:dyDescent="0.3">
      <c r="A16" s="175" t="str">
        <f>A11</f>
        <v>Group 1</v>
      </c>
      <c r="B16" s="248">
        <f>'Entering the Data'!B21</f>
        <v>2</v>
      </c>
      <c r="C16" s="239">
        <f>B19/1000</f>
        <v>0</v>
      </c>
      <c r="D16" s="167"/>
      <c r="G16" s="107"/>
      <c r="H16" s="107"/>
      <c r="I16" s="140"/>
      <c r="J16" s="107"/>
      <c r="K16" s="107"/>
      <c r="L16" s="107"/>
      <c r="M16" s="107"/>
      <c r="N16" s="107"/>
      <c r="O16" s="107"/>
      <c r="P16" s="107"/>
      <c r="Q16" s="107"/>
      <c r="R16" s="107"/>
      <c r="S16" s="107"/>
    </row>
    <row r="17" spans="1:19" ht="18.75" thickBot="1" x14ac:dyDescent="0.3">
      <c r="A17" s="233" t="str">
        <f>A12</f>
        <v>Group 2</v>
      </c>
      <c r="B17" s="249">
        <f>'Entering the Data'!B22</f>
        <v>0</v>
      </c>
      <c r="C17" s="32">
        <f>B20/1000</f>
        <v>0</v>
      </c>
      <c r="E17" s="311" t="s">
        <v>120</v>
      </c>
      <c r="F17" s="311"/>
      <c r="G17" s="107"/>
      <c r="H17" s="141"/>
      <c r="I17" s="142"/>
      <c r="J17" s="107"/>
      <c r="K17" s="107"/>
      <c r="L17" s="107"/>
      <c r="M17" s="107"/>
      <c r="N17" s="107"/>
      <c r="O17" s="107"/>
      <c r="P17" s="107"/>
      <c r="Q17" s="107"/>
      <c r="R17" s="107"/>
      <c r="S17" s="107"/>
    </row>
    <row r="18" spans="1:19" ht="16.5" thickTop="1" x14ac:dyDescent="0.25">
      <c r="A18" s="175" t="str">
        <f>A13</f>
        <v>Group 3</v>
      </c>
      <c r="B18" s="249">
        <f>'Entering the Data'!B23</f>
        <v>0</v>
      </c>
      <c r="E18" s="307" t="s">
        <v>136</v>
      </c>
      <c r="F18" s="308"/>
      <c r="G18" s="104"/>
      <c r="J18" s="107"/>
      <c r="K18" s="107"/>
      <c r="L18" s="107"/>
      <c r="M18" s="107"/>
      <c r="N18" s="107"/>
      <c r="O18" s="107"/>
      <c r="P18" s="107"/>
      <c r="Q18" s="107"/>
      <c r="R18" s="107"/>
      <c r="S18" s="107"/>
    </row>
    <row r="19" spans="1:19" ht="15.75" x14ac:dyDescent="0.25">
      <c r="A19" s="175" t="str">
        <f>A14</f>
        <v>Group 4</v>
      </c>
      <c r="B19" s="249">
        <f>'Entering the Data'!B24</f>
        <v>0</v>
      </c>
      <c r="E19" s="7" t="s">
        <v>3</v>
      </c>
      <c r="F19" s="8">
        <f>(B9*3*F11+F4)/B4</f>
        <v>5.0459665509642946</v>
      </c>
      <c r="G19" s="108"/>
      <c r="H19" s="5"/>
      <c r="I19" s="3"/>
    </row>
    <row r="20" spans="1:19" ht="15.75" x14ac:dyDescent="0.25">
      <c r="A20" s="177" t="s">
        <v>44</v>
      </c>
      <c r="B20" s="250"/>
      <c r="E20" s="7" t="s">
        <v>2</v>
      </c>
      <c r="F20" s="8">
        <f>(B9*F11+F4)/B4</f>
        <v>1.8119888503214314</v>
      </c>
      <c r="G20" s="108"/>
      <c r="H20" s="5"/>
      <c r="I20" s="143"/>
    </row>
    <row r="21" spans="1:19" ht="15.75" x14ac:dyDescent="0.25">
      <c r="A21" s="176" t="str">
        <f>A11</f>
        <v>Group 1</v>
      </c>
      <c r="B21" s="251">
        <f>'Entering the Data'!B27</f>
        <v>1.4999999999999999E-2</v>
      </c>
      <c r="E21" s="305" t="s">
        <v>95</v>
      </c>
      <c r="F21" s="306"/>
      <c r="G21" s="108"/>
    </row>
    <row r="22" spans="1:19" ht="15.75" x14ac:dyDescent="0.25">
      <c r="A22" s="176" t="str">
        <f t="shared" ref="A22:A24" si="0">A12</f>
        <v>Group 2</v>
      </c>
      <c r="B22" s="251">
        <f>'Entering the Data'!B28</f>
        <v>0</v>
      </c>
      <c r="E22" s="7" t="s">
        <v>3</v>
      </c>
      <c r="F22" s="156">
        <f>(B5+B6)/(B16*B11+B17*B12+B18*B13+B14*B19)/B7/(3*B9*F11/F8+B8)*1000</f>
        <v>0.73424981370357423</v>
      </c>
      <c r="G22" s="105"/>
      <c r="H22" s="5"/>
      <c r="I22" s="17"/>
    </row>
    <row r="23" spans="1:19" ht="15.75" x14ac:dyDescent="0.25">
      <c r="A23" s="176" t="str">
        <f t="shared" si="0"/>
        <v>Group 3</v>
      </c>
      <c r="B23" s="251">
        <f>'Entering the Data'!B29</f>
        <v>0</v>
      </c>
      <c r="E23" s="7" t="s">
        <v>2</v>
      </c>
      <c r="F23" s="156">
        <f>F3/(B16*B11+B12*B17+B13+B18+B14*B19)/B7/B4/(B9*F11/F8+B8)*1000</f>
        <v>2.0447145683831134</v>
      </c>
      <c r="G23" s="105"/>
      <c r="H23" s="5"/>
      <c r="I23" s="17"/>
    </row>
    <row r="24" spans="1:19" ht="15.75" x14ac:dyDescent="0.25">
      <c r="A24" s="176" t="str">
        <f t="shared" si="0"/>
        <v>Group 4</v>
      </c>
      <c r="B24" s="251">
        <f>'Entering the Data'!B30</f>
        <v>0</v>
      </c>
      <c r="C24" s="34"/>
      <c r="E24" s="305" t="s">
        <v>129</v>
      </c>
      <c r="F24" s="306"/>
      <c r="G24" s="105"/>
    </row>
    <row r="25" spans="1:19" ht="15.75" x14ac:dyDescent="0.25">
      <c r="A25" s="178" t="s">
        <v>95</v>
      </c>
      <c r="B25" s="252"/>
      <c r="C25" s="34"/>
      <c r="E25" s="7" t="s">
        <v>3</v>
      </c>
      <c r="F25" s="9">
        <f>F3/(B26*B11+B12*B27+B13*B28+B14*B29)/B7/B4/(3*B9*F11/F8+B8)*1000</f>
        <v>2.2592301960109973</v>
      </c>
      <c r="G25" s="105"/>
      <c r="H25" s="5"/>
      <c r="I25" s="144"/>
    </row>
    <row r="26" spans="1:19" ht="15.75" x14ac:dyDescent="0.25">
      <c r="A26" s="179" t="str">
        <f>A11</f>
        <v>Group 1</v>
      </c>
      <c r="B26" s="253">
        <f>'Entering the Data'!B33</f>
        <v>0.65</v>
      </c>
      <c r="C26" s="34"/>
      <c r="E26" s="7" t="s">
        <v>2</v>
      </c>
      <c r="F26" s="9">
        <f>F3/(B11*B26+B12*B27+B13*B28+B14*B29)/B7/B4/(B9*F11/F8+B8)*1000</f>
        <v>6.2914294411788116</v>
      </c>
      <c r="G26" s="105"/>
      <c r="H26" s="5"/>
      <c r="I26" s="144"/>
    </row>
    <row r="27" spans="1:19" ht="15.75" x14ac:dyDescent="0.25">
      <c r="A27" s="179" t="str">
        <f t="shared" ref="A27:A29" si="1">A12</f>
        <v>Group 2</v>
      </c>
      <c r="B27" s="253">
        <f>'Entering the Data'!B34</f>
        <v>0</v>
      </c>
      <c r="C27" s="34"/>
      <c r="E27" s="305" t="s">
        <v>44</v>
      </c>
      <c r="F27" s="306"/>
      <c r="G27" s="105"/>
      <c r="I27" s="145"/>
    </row>
    <row r="28" spans="1:19" ht="15.75" x14ac:dyDescent="0.25">
      <c r="A28" s="179" t="str">
        <f t="shared" si="1"/>
        <v>Group 3</v>
      </c>
      <c r="B28" s="253">
        <f>'Entering the Data'!B35</f>
        <v>0</v>
      </c>
      <c r="C28" s="17"/>
      <c r="E28" s="139" t="s">
        <v>3</v>
      </c>
      <c r="F28" s="10">
        <f>F29/3</f>
        <v>1.7022380825030718E-2</v>
      </c>
      <c r="G28" s="105"/>
      <c r="H28" s="5"/>
      <c r="I28" s="138"/>
    </row>
    <row r="29" spans="1:19" ht="15.75" x14ac:dyDescent="0.25">
      <c r="A29" s="179" t="str">
        <f t="shared" si="1"/>
        <v>Group 4</v>
      </c>
      <c r="B29" s="253">
        <f>'Entering the Data'!B36</f>
        <v>0</v>
      </c>
      <c r="C29" s="36"/>
      <c r="E29" s="137" t="s">
        <v>2</v>
      </c>
      <c r="F29" s="10">
        <f>F5/B9/F8/Calculations!T31</f>
        <v>5.1067142475092149E-2</v>
      </c>
      <c r="G29" s="105"/>
      <c r="H29" s="5"/>
      <c r="I29" s="138"/>
    </row>
    <row r="30" spans="1:19" x14ac:dyDescent="0.2">
      <c r="A30" s="310" t="s">
        <v>123</v>
      </c>
      <c r="B30" s="310"/>
      <c r="C30" s="36"/>
      <c r="E30" s="146" t="s">
        <v>106</v>
      </c>
      <c r="F30" s="138"/>
      <c r="G30" s="105"/>
      <c r="H30" s="105"/>
    </row>
    <row r="31" spans="1:19" ht="15.75" x14ac:dyDescent="0.25">
      <c r="A31" s="176" t="str">
        <f>A11</f>
        <v>Group 1</v>
      </c>
      <c r="B31" s="254">
        <f>'Entering the Data'!B39</f>
        <v>40</v>
      </c>
      <c r="C31" s="36"/>
      <c r="E31" s="148" t="s">
        <v>109</v>
      </c>
      <c r="F31" s="105"/>
      <c r="G31" s="105"/>
      <c r="H31" s="105"/>
    </row>
    <row r="32" spans="1:19" ht="16.5" thickBot="1" x14ac:dyDescent="0.3">
      <c r="A32" s="176" t="str">
        <f t="shared" ref="A32:A34" si="2">A12</f>
        <v>Group 2</v>
      </c>
      <c r="B32" s="254">
        <f>'Entering the Data'!B40</f>
        <v>0</v>
      </c>
      <c r="C32" s="36"/>
      <c r="E32" s="105"/>
      <c r="F32" s="105"/>
      <c r="G32" s="105"/>
      <c r="H32" s="105"/>
    </row>
    <row r="33" spans="1:13" ht="16.5" thickBot="1" x14ac:dyDescent="0.3">
      <c r="A33" s="176" t="str">
        <f t="shared" si="2"/>
        <v>Group 3</v>
      </c>
      <c r="B33" s="254">
        <f>'Entering the Data'!B41</f>
        <v>0</v>
      </c>
      <c r="C33" s="240">
        <f>B36/365</f>
        <v>1.0958904109589041E-2</v>
      </c>
      <c r="E33" s="105"/>
      <c r="F33" s="105"/>
      <c r="G33" s="105"/>
      <c r="H33" s="105"/>
    </row>
    <row r="34" spans="1:13" ht="15.75" x14ac:dyDescent="0.25">
      <c r="A34" s="176" t="str">
        <f t="shared" si="2"/>
        <v>Group 4</v>
      </c>
      <c r="B34" s="254">
        <f>'Entering the Data'!B42</f>
        <v>0</v>
      </c>
      <c r="C34" s="37"/>
      <c r="D34" s="18"/>
      <c r="E34" s="105"/>
      <c r="F34" s="105"/>
    </row>
    <row r="35" spans="1:13" ht="15.75" x14ac:dyDescent="0.25">
      <c r="A35" s="170" t="s">
        <v>122</v>
      </c>
      <c r="B35" s="245">
        <f>'Entering the Data'!B45</f>
        <v>0.03</v>
      </c>
      <c r="C35" s="37"/>
      <c r="D35" s="18"/>
      <c r="E35" s="105"/>
      <c r="F35" s="105"/>
    </row>
    <row r="36" spans="1:13" ht="15.75" x14ac:dyDescent="0.25">
      <c r="A36" s="172" t="s">
        <v>33</v>
      </c>
      <c r="B36" s="243">
        <f>'Entering the Data'!B48</f>
        <v>4</v>
      </c>
      <c r="C36" s="37"/>
      <c r="D36" s="18"/>
      <c r="E36" s="19"/>
      <c r="F36" s="105"/>
    </row>
    <row r="37" spans="1:13" ht="15.75" x14ac:dyDescent="0.25">
      <c r="A37" s="170" t="s">
        <v>121</v>
      </c>
      <c r="B37" s="243">
        <f>'Entering the Data'!B50</f>
        <v>0.20200000000000001</v>
      </c>
      <c r="C37" s="34"/>
      <c r="E37" s="19"/>
      <c r="F37" s="19"/>
    </row>
    <row r="38" spans="1:13" x14ac:dyDescent="0.2">
      <c r="B38" s="161"/>
      <c r="C38" s="37"/>
      <c r="E38" s="19"/>
      <c r="F38" s="19"/>
    </row>
    <row r="39" spans="1:13" x14ac:dyDescent="0.2">
      <c r="C39" s="37"/>
      <c r="F39" s="19"/>
    </row>
    <row r="40" spans="1:13" ht="15.75" x14ac:dyDescent="0.25">
      <c r="B40"/>
      <c r="C40" s="34"/>
      <c r="E40" s="20"/>
      <c r="G40" s="19"/>
    </row>
    <row r="41" spans="1:13" x14ac:dyDescent="0.2">
      <c r="C41" s="32"/>
      <c r="E41" s="2"/>
      <c r="F41" s="19"/>
      <c r="G41" s="19"/>
    </row>
    <row r="42" spans="1:13" x14ac:dyDescent="0.2">
      <c r="E42" s="18"/>
      <c r="F42" s="19"/>
      <c r="G42" s="19"/>
    </row>
    <row r="43" spans="1:13" x14ac:dyDescent="0.2">
      <c r="C43" s="32"/>
    </row>
    <row r="44" spans="1:13" x14ac:dyDescent="0.2">
      <c r="C44" s="38"/>
    </row>
    <row r="45" spans="1:13" x14ac:dyDescent="0.2">
      <c r="C45" s="35"/>
    </row>
    <row r="46" spans="1:13" x14ac:dyDescent="0.2">
      <c r="A46" s="18"/>
      <c r="B46" s="3"/>
      <c r="C46" s="35"/>
    </row>
    <row r="47" spans="1:13" x14ac:dyDescent="0.2">
      <c r="C47" s="17"/>
    </row>
    <row r="48" spans="1:13" ht="15.75" x14ac:dyDescent="0.25">
      <c r="H48" s="219" t="s">
        <v>214</v>
      </c>
      <c r="I48" s="218"/>
      <c r="J48" s="218"/>
      <c r="K48" s="218"/>
      <c r="M48" s="6" t="s">
        <v>217</v>
      </c>
    </row>
    <row r="49" spans="1:13" ht="15.75" x14ac:dyDescent="0.25">
      <c r="A49" s="6"/>
      <c r="H49" s="219" t="s">
        <v>215</v>
      </c>
      <c r="I49" s="218"/>
      <c r="J49" s="218"/>
      <c r="K49" s="218"/>
      <c r="M49" s="6" t="s">
        <v>216</v>
      </c>
    </row>
    <row r="50" spans="1:13" x14ac:dyDescent="0.2">
      <c r="H50" s="218"/>
      <c r="I50" s="218"/>
      <c r="J50" s="218"/>
      <c r="K50" s="218"/>
    </row>
    <row r="51" spans="1:13" ht="15.75" x14ac:dyDescent="0.2">
      <c r="A51" s="11"/>
      <c r="B51" s="12"/>
      <c r="H51" s="218"/>
      <c r="I51" s="218"/>
      <c r="J51" s="218"/>
      <c r="K51" s="218"/>
    </row>
    <row r="52" spans="1:13" ht="15.75" x14ac:dyDescent="0.2">
      <c r="A52" s="13"/>
      <c r="B52" s="12"/>
    </row>
    <row r="53" spans="1:13" ht="15.75" x14ac:dyDescent="0.2">
      <c r="A53" s="13"/>
      <c r="B53" s="12"/>
    </row>
    <row r="54" spans="1:13" ht="15.75" x14ac:dyDescent="0.2">
      <c r="A54" s="13"/>
      <c r="B54" s="12"/>
    </row>
    <row r="55" spans="1:13" ht="15.75" x14ac:dyDescent="0.2">
      <c r="A55" s="11"/>
      <c r="B55" s="12"/>
      <c r="C55" s="3"/>
    </row>
    <row r="56" spans="1:13" ht="15.75" x14ac:dyDescent="0.2">
      <c r="A56" s="11"/>
      <c r="B56" s="12"/>
    </row>
    <row r="57" spans="1:13" ht="15.75" x14ac:dyDescent="0.2">
      <c r="A57" s="11"/>
      <c r="B57" s="12"/>
    </row>
    <row r="58" spans="1:13" ht="15.75" x14ac:dyDescent="0.2">
      <c r="A58" s="11"/>
      <c r="B58" s="12"/>
    </row>
    <row r="59" spans="1:13" ht="15.75" x14ac:dyDescent="0.2">
      <c r="A59" s="11"/>
      <c r="B59" s="12"/>
    </row>
    <row r="60" spans="1:13" ht="15.75" x14ac:dyDescent="0.2">
      <c r="A60" s="11"/>
      <c r="B60" s="12"/>
      <c r="C60" s="12"/>
    </row>
    <row r="61" spans="1:13" ht="15.75" x14ac:dyDescent="0.2">
      <c r="A61" s="11"/>
      <c r="B61" s="12"/>
      <c r="C61" s="12"/>
    </row>
    <row r="62" spans="1:13" ht="15.75" x14ac:dyDescent="0.2">
      <c r="A62" s="11"/>
      <c r="B62" s="12"/>
      <c r="C62" s="12"/>
    </row>
    <row r="63" spans="1:13" ht="15.75" x14ac:dyDescent="0.2">
      <c r="A63" s="11"/>
      <c r="B63" s="12"/>
      <c r="C63" s="12"/>
    </row>
    <row r="64" spans="1:13" ht="15.75" x14ac:dyDescent="0.2">
      <c r="A64" s="11"/>
      <c r="B64" s="12"/>
      <c r="C64" s="12"/>
    </row>
    <row r="65" spans="1:3" ht="15.75" x14ac:dyDescent="0.2">
      <c r="A65" s="11"/>
      <c r="B65" s="12"/>
      <c r="C65" s="12"/>
    </row>
    <row r="66" spans="1:3" ht="15.75" x14ac:dyDescent="0.2">
      <c r="A66" s="11"/>
      <c r="B66" s="12"/>
      <c r="C66" s="12"/>
    </row>
    <row r="67" spans="1:3" ht="15.75" x14ac:dyDescent="0.2">
      <c r="A67" s="11"/>
      <c r="B67" s="12"/>
      <c r="C67" s="12"/>
    </row>
    <row r="68" spans="1:3" ht="15.75" x14ac:dyDescent="0.2">
      <c r="A68" s="11"/>
      <c r="B68" s="12"/>
      <c r="C68" s="12"/>
    </row>
    <row r="69" spans="1:3" ht="15.75" x14ac:dyDescent="0.2">
      <c r="A69" s="11"/>
      <c r="B69" s="12"/>
      <c r="C69" s="12"/>
    </row>
    <row r="70" spans="1:3" ht="15.75" x14ac:dyDescent="0.2">
      <c r="A70" s="11"/>
      <c r="B70" s="12"/>
      <c r="C70" s="12"/>
    </row>
    <row r="71" spans="1:3" ht="15.75" x14ac:dyDescent="0.2">
      <c r="A71" s="11"/>
      <c r="B71" s="12"/>
      <c r="C71" s="12"/>
    </row>
    <row r="72" spans="1:3" ht="15.75" x14ac:dyDescent="0.2">
      <c r="A72" s="11"/>
      <c r="B72" s="12"/>
      <c r="C72" s="12"/>
    </row>
    <row r="73" spans="1:3" x14ac:dyDescent="0.2">
      <c r="C73" s="12"/>
    </row>
    <row r="74" spans="1:3" x14ac:dyDescent="0.2">
      <c r="C74" s="12"/>
    </row>
    <row r="75" spans="1:3" x14ac:dyDescent="0.2">
      <c r="C75" s="12"/>
    </row>
    <row r="76" spans="1:3" x14ac:dyDescent="0.2">
      <c r="C76" s="12"/>
    </row>
    <row r="77" spans="1:3" x14ac:dyDescent="0.2">
      <c r="C77" s="12"/>
    </row>
    <row r="78" spans="1:3" x14ac:dyDescent="0.2">
      <c r="C78" s="12"/>
    </row>
    <row r="79" spans="1:3" x14ac:dyDescent="0.2">
      <c r="C79" s="12"/>
    </row>
    <row r="80" spans="1:3" x14ac:dyDescent="0.2">
      <c r="C80" s="12"/>
    </row>
    <row r="81" spans="3:3" x14ac:dyDescent="0.2">
      <c r="C81" s="12"/>
    </row>
  </sheetData>
  <sheetProtection selectLockedCells="1"/>
  <dataConsolidate/>
  <conditionalFormatting sqref="B46 F14 C55">
    <cfRule type="colorScale" priority="4">
      <colorScale>
        <cfvo type="num" val="$B$9"/>
        <cfvo type="num" val="$B$9*3"/>
        <cfvo type="max"/>
        <color theme="6" tint="0.39997558519241921"/>
        <color rgb="FFFFEC7E"/>
        <color theme="5" tint="0.39997558519241921"/>
      </colorScale>
    </cfRule>
  </conditionalFormatting>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xWindow="237" yWindow="258" count="1">
        <x14:dataValidation type="list" allowBlank="1" showInputMessage="1" showErrorMessage="1" promptTitle="Country List" prompt="Please Select the Country of Interest_x000d_" xr:uid="{00000000-0002-0000-0200-000000000000}">
          <x14:formula1>
            <xm:f>'Country Data'!$A$3:$A$50</xm:f>
          </x14:formula1>
          <xm:sqref>B3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800000"/>
  </sheetPr>
  <dimension ref="A1:W113"/>
  <sheetViews>
    <sheetView tabSelected="1" topLeftCell="A81" zoomScale="85" zoomScaleNormal="85" workbookViewId="0">
      <selection activeCell="G41" sqref="G41"/>
    </sheetView>
  </sheetViews>
  <sheetFormatPr defaultColWidth="10.75" defaultRowHeight="15.75" x14ac:dyDescent="0.25"/>
  <cols>
    <col min="1" max="1" width="23.25" style="1" customWidth="1"/>
    <col min="2" max="2" width="22.25" style="1" customWidth="1"/>
    <col min="3" max="3" width="17.375" style="1" customWidth="1"/>
    <col min="4" max="4" width="25.25" style="1" customWidth="1"/>
    <col min="5" max="5" width="22.125" style="1" customWidth="1"/>
    <col min="6" max="6" width="17.375" style="1" customWidth="1"/>
    <col min="7" max="7" width="18.25" style="1" customWidth="1"/>
    <col min="8" max="8" width="22.75" style="1" bestFit="1" customWidth="1"/>
    <col min="9" max="9" width="47.5" style="1" customWidth="1"/>
    <col min="10" max="10" width="23.5" style="1" customWidth="1"/>
    <col min="11" max="11" width="25.5" style="1" customWidth="1"/>
    <col min="12" max="12" width="23.125" style="1" customWidth="1"/>
    <col min="13" max="14" width="14.25" style="1" bestFit="1" customWidth="1"/>
    <col min="15" max="15" width="17.875" style="1" customWidth="1"/>
    <col min="16" max="17" width="13.625" style="1" customWidth="1"/>
    <col min="18" max="18" width="21.625" style="1" customWidth="1"/>
    <col min="19" max="19" width="14.75" style="1" customWidth="1"/>
    <col min="20" max="20" width="13.75" style="1" customWidth="1"/>
    <col min="21" max="21" width="16.75" style="1" customWidth="1"/>
    <col min="22" max="22" width="12.625" style="1" customWidth="1"/>
    <col min="23" max="23" width="13.75" style="1" bestFit="1" customWidth="1"/>
    <col min="24" max="16384" width="10.75" style="1"/>
  </cols>
  <sheetData>
    <row r="1" spans="1:10" ht="18" x14ac:dyDescent="0.25">
      <c r="A1" s="27" t="s">
        <v>37</v>
      </c>
    </row>
    <row r="2" spans="1:10" x14ac:dyDescent="0.25">
      <c r="A2" s="6" t="s">
        <v>75</v>
      </c>
      <c r="B2" s="4"/>
      <c r="C2" s="4"/>
    </row>
    <row r="3" spans="1:10" x14ac:dyDescent="0.25">
      <c r="A3" s="6" t="s">
        <v>107</v>
      </c>
      <c r="B3" s="4"/>
      <c r="C3" s="4"/>
    </row>
    <row r="4" spans="1:10" x14ac:dyDescent="0.25">
      <c r="A4" s="163"/>
      <c r="B4" s="312" t="s">
        <v>133</v>
      </c>
      <c r="C4" s="312"/>
      <c r="D4" s="312"/>
      <c r="E4" s="312"/>
      <c r="F4" s="312"/>
      <c r="G4" s="312"/>
      <c r="H4" s="312"/>
      <c r="I4" s="312"/>
      <c r="J4" s="312"/>
    </row>
    <row r="5" spans="1:10" x14ac:dyDescent="0.25">
      <c r="A5" s="164"/>
      <c r="B5" s="313" t="s">
        <v>134</v>
      </c>
      <c r="C5" s="313"/>
      <c r="D5" s="313"/>
      <c r="E5" s="313"/>
      <c r="F5" s="313"/>
      <c r="G5" s="313"/>
      <c r="H5" s="313"/>
      <c r="I5" s="165"/>
      <c r="J5" s="165"/>
    </row>
    <row r="6" spans="1:10" x14ac:dyDescent="0.25">
      <c r="A6" s="6" t="s">
        <v>130</v>
      </c>
      <c r="B6" s="4"/>
      <c r="C6" s="4"/>
    </row>
    <row r="7" spans="1:10" x14ac:dyDescent="0.25">
      <c r="A7" s="6" t="s">
        <v>131</v>
      </c>
      <c r="B7" s="6"/>
      <c r="C7" s="6" t="s">
        <v>132</v>
      </c>
      <c r="D7" s="25"/>
    </row>
    <row r="8" spans="1:10" x14ac:dyDescent="0.25">
      <c r="A8" s="6"/>
      <c r="B8" s="4"/>
      <c r="C8" s="4"/>
    </row>
    <row r="9" spans="1:10" x14ac:dyDescent="0.25">
      <c r="A9" s="4" t="s">
        <v>30</v>
      </c>
    </row>
    <row r="10" spans="1:10" x14ac:dyDescent="0.25">
      <c r="A10" s="154" t="s">
        <v>110</v>
      </c>
    </row>
    <row r="12" spans="1:10" x14ac:dyDescent="0.25">
      <c r="A12" s="4"/>
      <c r="B12" s="236" t="s">
        <v>258</v>
      </c>
      <c r="C12" s="314" t="s">
        <v>220</v>
      </c>
      <c r="D12" s="314"/>
      <c r="E12" s="314"/>
      <c r="F12" s="314"/>
      <c r="G12" s="314"/>
      <c r="H12" s="314"/>
    </row>
    <row r="13" spans="1:10" x14ac:dyDescent="0.25">
      <c r="A13" s="4"/>
      <c r="B13" s="236" t="s">
        <v>259</v>
      </c>
      <c r="C13" s="154" t="s">
        <v>111</v>
      </c>
      <c r="D13" s="154"/>
      <c r="E13" s="154"/>
      <c r="F13" s="154"/>
      <c r="G13" s="154"/>
      <c r="H13" s="154"/>
    </row>
    <row r="14" spans="1:10" x14ac:dyDescent="0.25">
      <c r="A14" s="4"/>
      <c r="B14" s="236" t="s">
        <v>260</v>
      </c>
      <c r="C14" s="4" t="s">
        <v>31</v>
      </c>
      <c r="D14" s="4"/>
      <c r="E14" s="4"/>
      <c r="F14" s="4"/>
      <c r="G14" s="4"/>
      <c r="H14" s="4"/>
    </row>
    <row r="15" spans="1:10" x14ac:dyDescent="0.25">
      <c r="A15" s="154"/>
      <c r="B15" s="236" t="s">
        <v>261</v>
      </c>
      <c r="C15" s="154" t="s">
        <v>112</v>
      </c>
      <c r="D15" s="154"/>
      <c r="E15" s="154"/>
      <c r="F15" s="154"/>
      <c r="G15" s="154"/>
      <c r="H15" s="154"/>
    </row>
    <row r="16" spans="1:10" x14ac:dyDescent="0.25">
      <c r="A16" s="4"/>
      <c r="B16" s="236"/>
      <c r="C16" s="3"/>
    </row>
    <row r="17" spans="1:23" x14ac:dyDescent="0.25">
      <c r="A17" s="4"/>
      <c r="B17" s="236" t="s">
        <v>262</v>
      </c>
      <c r="C17" s="315" t="s">
        <v>113</v>
      </c>
      <c r="D17" s="315"/>
      <c r="E17" s="315"/>
      <c r="F17" s="315"/>
      <c r="G17" s="315"/>
      <c r="H17" s="315"/>
    </row>
    <row r="18" spans="1:23" x14ac:dyDescent="0.25">
      <c r="A18" s="4"/>
      <c r="B18" s="236"/>
      <c r="C18" s="3"/>
    </row>
    <row r="19" spans="1:23" x14ac:dyDescent="0.25">
      <c r="A19" s="4"/>
      <c r="B19" s="236" t="s">
        <v>263</v>
      </c>
      <c r="C19" s="235" t="s">
        <v>114</v>
      </c>
    </row>
    <row r="20" spans="1:23" x14ac:dyDescent="0.25">
      <c r="A20" s="4"/>
      <c r="B20" s="236"/>
      <c r="C20" s="3"/>
    </row>
    <row r="21" spans="1:23" x14ac:dyDescent="0.25">
      <c r="A21" s="4"/>
      <c r="B21" s="236" t="s">
        <v>264</v>
      </c>
      <c r="C21" s="157" t="s">
        <v>115</v>
      </c>
    </row>
    <row r="22" spans="1:23" x14ac:dyDescent="0.25">
      <c r="A22" s="4"/>
      <c r="B22" s="236"/>
      <c r="C22" s="4"/>
    </row>
    <row r="23" spans="1:23" x14ac:dyDescent="0.25">
      <c r="A23" s="4"/>
      <c r="B23" s="236" t="s">
        <v>265</v>
      </c>
      <c r="C23" s="154" t="s">
        <v>116</v>
      </c>
    </row>
    <row r="24" spans="1:23" x14ac:dyDescent="0.25">
      <c r="A24" s="4"/>
    </row>
    <row r="25" spans="1:23" ht="18" x14ac:dyDescent="0.25">
      <c r="A25" s="14" t="s">
        <v>99</v>
      </c>
      <c r="B25" s="4"/>
      <c r="C25" s="4"/>
      <c r="D25" s="4"/>
      <c r="E25" s="4"/>
      <c r="F25" s="4"/>
      <c r="G25" s="4"/>
      <c r="H25" s="4"/>
      <c r="I25" s="4"/>
      <c r="J25" s="4"/>
      <c r="K25" s="4"/>
      <c r="L25" s="4"/>
      <c r="M25" s="4"/>
      <c r="N25" s="4"/>
      <c r="O25" s="4"/>
      <c r="P25" s="4"/>
      <c r="Q25" s="4"/>
      <c r="R25" s="4"/>
    </row>
    <row r="26" spans="1:23" x14ac:dyDescent="0.25">
      <c r="A26" s="316" t="s">
        <v>63</v>
      </c>
      <c r="B26" s="316" t="s">
        <v>14</v>
      </c>
      <c r="C26" s="316" t="s">
        <v>15</v>
      </c>
      <c r="D26" s="316" t="s">
        <v>9</v>
      </c>
      <c r="E26" s="316" t="s">
        <v>43</v>
      </c>
      <c r="F26" s="316" t="s">
        <v>41</v>
      </c>
      <c r="G26" s="316" t="s">
        <v>42</v>
      </c>
      <c r="H26" s="316" t="s">
        <v>5</v>
      </c>
      <c r="I26" s="316" t="s">
        <v>7</v>
      </c>
      <c r="J26" s="316" t="s">
        <v>40</v>
      </c>
      <c r="K26" s="316" t="s">
        <v>27</v>
      </c>
      <c r="L26" s="316" t="s">
        <v>28</v>
      </c>
      <c r="M26" s="316" t="s">
        <v>19</v>
      </c>
      <c r="N26" s="316" t="s">
        <v>20</v>
      </c>
      <c r="O26" s="316" t="s">
        <v>21</v>
      </c>
      <c r="P26" s="316" t="s">
        <v>22</v>
      </c>
      <c r="Q26" s="316" t="s">
        <v>23</v>
      </c>
      <c r="R26" s="316" t="s">
        <v>26</v>
      </c>
      <c r="S26" s="316" t="s">
        <v>45</v>
      </c>
      <c r="T26" s="316" t="s">
        <v>46</v>
      </c>
      <c r="U26" s="316" t="s">
        <v>62</v>
      </c>
      <c r="V26" s="316" t="s">
        <v>47</v>
      </c>
      <c r="W26" s="316" t="s">
        <v>277</v>
      </c>
    </row>
    <row r="27" spans="1:23" x14ac:dyDescent="0.25">
      <c r="A27" s="94" t="s">
        <v>11</v>
      </c>
      <c r="B27" s="29">
        <f>'Charts and Tables'!B11</f>
        <v>1</v>
      </c>
      <c r="C27" s="55">
        <f>B27*'Charts and Tables'!$B$4</f>
        <v>100000</v>
      </c>
      <c r="D27" s="56">
        <f>'Charts and Tables'!B31</f>
        <v>40</v>
      </c>
      <c r="E27" s="56">
        <f>C27*'Charts and Tables'!C13*'Charts and Tables'!$B$7</f>
        <v>1000</v>
      </c>
      <c r="F27" s="56">
        <f>E27-G27</f>
        <v>985</v>
      </c>
      <c r="G27" s="56">
        <f>E27*'Charts and Tables'!B21</f>
        <v>15</v>
      </c>
      <c r="H27" s="56">
        <f>F27*'Charts and Tables'!B26</f>
        <v>640.25</v>
      </c>
      <c r="I27" s="57">
        <f>G27*'Charts and Tables'!$B26</f>
        <v>9.75</v>
      </c>
      <c r="J27" s="57">
        <f>H27+I27</f>
        <v>650</v>
      </c>
      <c r="K27" s="222">
        <f>H27*'Charts and Tables'!$C$33*'Charts and Tables'!$B$37/'Charts and Tables'!$B$7/(1+'Charts and Tables'!$B$35)^$C$36</f>
        <v>0.28337230134121927</v>
      </c>
      <c r="L27" s="58">
        <f>I27/'Charts and Tables'!$B$35*(1-EXP(-'Charts and Tables'!$B$35*D27))/'Charts and Tables'!$B$7</f>
        <v>45.422376225706856</v>
      </c>
      <c r="M27" s="58">
        <f>(L27+K27)/(1+'Charts and Tables'!$B$35)^(0)</f>
        <v>45.705748527048073</v>
      </c>
      <c r="N27" s="58">
        <f>($K27+L27)/(1+'Charts and Tables'!$B$35)^1</f>
        <v>44.374513133056382</v>
      </c>
      <c r="O27" s="58">
        <f>(L27+$K27)/(1+'Charts and Tables'!$B$35)^2</f>
        <v>43.082051585491634</v>
      </c>
      <c r="P27" s="58">
        <f>($K27+L27)/(1+'Charts and Tables'!$B$35)^3</f>
        <v>41.827234549021</v>
      </c>
      <c r="Q27" s="119">
        <f>(L27+$K27)/(1+'Charts and Tables'!$B$35)^4</f>
        <v>40.608965581573791</v>
      </c>
      <c r="R27" s="123">
        <f>IF($B$36=1,M27,IF($B$36=2,M27+N27,IF($B$36=3,M27+N27+O27,IF($B$36=4,M27+N27+O27+P27,M27+N27+O27+P27+Q27))))</f>
        <v>215.59851337619088</v>
      </c>
      <c r="S27" s="120">
        <f>R27/H27</f>
        <v>0.3367411376434063</v>
      </c>
      <c r="T27" s="120">
        <f>R27/I27</f>
        <v>22.112668038583681</v>
      </c>
      <c r="U27" s="121">
        <f>(C27*$F$36)-($H$36*J27)</f>
        <v>550500</v>
      </c>
      <c r="V27" s="120">
        <f>(C27*$F$36-J27*$H$36)/R27</f>
        <v>2553.3571237546075</v>
      </c>
      <c r="W27" s="276">
        <f>IF(I27&lt;&gt;0,U27/I27,0)</f>
        <v>56461.538461538461</v>
      </c>
    </row>
    <row r="28" spans="1:23" x14ac:dyDescent="0.25">
      <c r="A28" s="95" t="s">
        <v>12</v>
      </c>
      <c r="B28" s="59">
        <f>'Charts and Tables'!B12</f>
        <v>0</v>
      </c>
      <c r="C28" s="60">
        <f>B28*'Charts and Tables'!$B$4</f>
        <v>0</v>
      </c>
      <c r="D28" s="61">
        <f>'Charts and Tables'!B32</f>
        <v>0</v>
      </c>
      <c r="E28" s="56">
        <f>C28*'Charts and Tables'!C14*'Charts and Tables'!$B$7</f>
        <v>0</v>
      </c>
      <c r="F28" s="56">
        <f t="shared" ref="F28:F30" si="0">E28-G28</f>
        <v>0</v>
      </c>
      <c r="G28" s="56">
        <f>E28*'Charts and Tables'!B22</f>
        <v>0</v>
      </c>
      <c r="H28" s="56">
        <f>F28*'Charts and Tables'!$B$27</f>
        <v>0</v>
      </c>
      <c r="I28" s="57">
        <f>G28*'Charts and Tables'!$B27</f>
        <v>0</v>
      </c>
      <c r="J28" s="57">
        <f t="shared" ref="J28:J30" si="1">H28+I28</f>
        <v>0</v>
      </c>
      <c r="K28" s="222">
        <f>H28*'Charts and Tables'!$C$33*'Charts and Tables'!$B$37/'Charts and Tables'!$B$7/(1+'Charts and Tables'!$B$35)^$C$36</f>
        <v>0</v>
      </c>
      <c r="L28" s="58">
        <f>I28/'Charts and Tables'!$B$35*(1-EXP(-'Charts and Tables'!$B$35*D28))/'Charts and Tables'!$B$7</f>
        <v>0</v>
      </c>
      <c r="M28" s="62">
        <f>(L28+K28)/(1+'Charts and Tables'!$B$35)^(0)</f>
        <v>0</v>
      </c>
      <c r="N28" s="58">
        <f>($K28+L28)/(1+'Charts and Tables'!$B$35)^1</f>
        <v>0</v>
      </c>
      <c r="O28" s="58">
        <f>(L28+$K28)/(1+'Charts and Tables'!$B$35)^2</f>
        <v>0</v>
      </c>
      <c r="P28" s="58">
        <f>($K28+L28)/(1+'Charts and Tables'!$B$35)^3</f>
        <v>0</v>
      </c>
      <c r="Q28" s="119">
        <f>(L28+$K28)/(1+'Charts and Tables'!$B$35)^4</f>
        <v>0</v>
      </c>
      <c r="R28" s="123">
        <f>IF($B$36=1,M28,IF($B$36=2,M28+N28,IF($B$36=3,M28+N28+O28,IF($B$36=4,M28+N28+O28+P28,M28+N28+O28+P28+Q28))))</f>
        <v>0</v>
      </c>
      <c r="S28" s="120" t="e">
        <f t="shared" ref="S28:S30" si="2">R28/H28</f>
        <v>#DIV/0!</v>
      </c>
      <c r="T28" s="120" t="e">
        <f t="shared" ref="T28:T30" si="3">R28/I28</f>
        <v>#DIV/0!</v>
      </c>
      <c r="U28" s="121">
        <f>(C28*$F$36)-($H$36*J28)</f>
        <v>0</v>
      </c>
      <c r="V28" s="120">
        <f>IF(R28&lt;&gt;0,((C28*$F$36-J28*$H$36)/R28),0)</f>
        <v>0</v>
      </c>
      <c r="W28" s="276">
        <f t="shared" ref="W28:W31" si="4">IF(I28&lt;&gt;0,U28/I28,0)</f>
        <v>0</v>
      </c>
    </row>
    <row r="29" spans="1:23" x14ac:dyDescent="0.25">
      <c r="A29" s="95" t="s">
        <v>13</v>
      </c>
      <c r="B29" s="59">
        <f>'Charts and Tables'!B13</f>
        <v>0</v>
      </c>
      <c r="C29" s="60">
        <f>B29*'Charts and Tables'!$B$4</f>
        <v>0</v>
      </c>
      <c r="D29" s="61">
        <f>'Charts and Tables'!B33</f>
        <v>0</v>
      </c>
      <c r="E29" s="56">
        <f>C29*'Charts and Tables'!C15*'Charts and Tables'!$B$7</f>
        <v>0</v>
      </c>
      <c r="F29" s="56">
        <f t="shared" si="0"/>
        <v>0</v>
      </c>
      <c r="G29" s="56">
        <f>E29*'Charts and Tables'!B23</f>
        <v>0</v>
      </c>
      <c r="H29" s="56">
        <f>F29*'Charts and Tables'!$B$28</f>
        <v>0</v>
      </c>
      <c r="I29" s="57">
        <f>G29*'Charts and Tables'!$B28</f>
        <v>0</v>
      </c>
      <c r="J29" s="57">
        <f t="shared" si="1"/>
        <v>0</v>
      </c>
      <c r="K29" s="222">
        <f>H29*'Charts and Tables'!$C$33*'Charts and Tables'!$B$37/'Charts and Tables'!$B$7/(1+'Charts and Tables'!$B$35)^$C$36</f>
        <v>0</v>
      </c>
      <c r="L29" s="58">
        <f>I29/'Charts and Tables'!$B$35*(1-EXP(-'Charts and Tables'!$B$35*D29))/'Charts and Tables'!$B$7</f>
        <v>0</v>
      </c>
      <c r="M29" s="62">
        <f>(L29+K29)/(1+'Charts and Tables'!$B$35)^(0)</f>
        <v>0</v>
      </c>
      <c r="N29" s="58">
        <f>($K29+L29)/(1+'Charts and Tables'!$B$35)^1</f>
        <v>0</v>
      </c>
      <c r="O29" s="58">
        <f>(L29+$K29)/(1+'Charts and Tables'!$B$35)^2</f>
        <v>0</v>
      </c>
      <c r="P29" s="58">
        <f>($K29+L29)/(1+'Charts and Tables'!$B$35)^3</f>
        <v>0</v>
      </c>
      <c r="Q29" s="119">
        <f>(L29+$K29)/(1+'Charts and Tables'!$B$35)^4</f>
        <v>0</v>
      </c>
      <c r="R29" s="123">
        <f>IF($B$36=1,M29,IF($B$36=2,M29+N29,IF($B$36=3,M29+N29+O29,IF($B$36=4,M29+N29+O29+P29,M29+N29+O29+P29+Q29))))</f>
        <v>0</v>
      </c>
      <c r="S29" s="120" t="e">
        <f t="shared" si="2"/>
        <v>#DIV/0!</v>
      </c>
      <c r="T29" s="120" t="e">
        <f t="shared" si="3"/>
        <v>#DIV/0!</v>
      </c>
      <c r="U29" s="121">
        <f>(C29*$F$36)-($H$36*J29)</f>
        <v>0</v>
      </c>
      <c r="V29" s="120">
        <f>IF(R29&lt;&gt;0,((C29*$F$36-J29*$H$36)/R29),0)</f>
        <v>0</v>
      </c>
      <c r="W29" s="276">
        <f t="shared" si="4"/>
        <v>0</v>
      </c>
    </row>
    <row r="30" spans="1:23" x14ac:dyDescent="0.25">
      <c r="A30" s="96" t="s">
        <v>64</v>
      </c>
      <c r="B30" s="69">
        <f>'Charts and Tables'!B14</f>
        <v>0</v>
      </c>
      <c r="C30" s="70">
        <f>B30*'Charts and Tables'!$B$4</f>
        <v>0</v>
      </c>
      <c r="D30" s="71">
        <f>'Charts and Tables'!B34</f>
        <v>0</v>
      </c>
      <c r="E30" s="72">
        <f>C30*'Charts and Tables'!C16*'Charts and Tables'!$B$7</f>
        <v>0</v>
      </c>
      <c r="F30" s="72">
        <f t="shared" si="0"/>
        <v>0</v>
      </c>
      <c r="G30" s="72">
        <f>E30*'Charts and Tables'!B24</f>
        <v>0</v>
      </c>
      <c r="H30" s="72">
        <f>F30*'Charts and Tables'!$B$29</f>
        <v>0</v>
      </c>
      <c r="I30" s="57">
        <f>G30*'Charts and Tables'!$B29</f>
        <v>0</v>
      </c>
      <c r="J30" s="73">
        <f t="shared" si="1"/>
        <v>0</v>
      </c>
      <c r="K30" s="223">
        <f>H30*'Charts and Tables'!$C$33*'Charts and Tables'!$B$37/'Charts and Tables'!$B$7/(1+'Charts and Tables'!$B$35)^$C$36</f>
        <v>0</v>
      </c>
      <c r="L30" s="74">
        <f>I30/'Charts and Tables'!$B$35*(1-EXP(-'Charts and Tables'!$B$35*D30))/'Charts and Tables'!$B$7</f>
        <v>0</v>
      </c>
      <c r="M30" s="75">
        <f>(L30+K30)/(1+'Charts and Tables'!$B$35)^(0)</f>
        <v>0</v>
      </c>
      <c r="N30" s="58">
        <f>($K30+L30)/(1+'Charts and Tables'!$B$35)^1</f>
        <v>0</v>
      </c>
      <c r="O30" s="58">
        <f>(L30+$K30)/(1+'Charts and Tables'!$B$35)^2</f>
        <v>0</v>
      </c>
      <c r="P30" s="58">
        <f>($K30+L30)/(1+'Charts and Tables'!$B$35)^3</f>
        <v>0</v>
      </c>
      <c r="Q30" s="119">
        <f>(L30+$K30)/(1+'Charts and Tables'!$B$35)^4</f>
        <v>0</v>
      </c>
      <c r="R30" s="123">
        <f>IF($B$36=1,M30,IF($B$36=2,M30+N30,IF($B$36=3,M30+N30+O30,IF($B$36=4,M30+N30+O30+P30,M30+N30+O30+P30+Q30))))</f>
        <v>0</v>
      </c>
      <c r="S30" s="120" t="e">
        <f t="shared" si="2"/>
        <v>#DIV/0!</v>
      </c>
      <c r="T30" s="120" t="e">
        <f t="shared" si="3"/>
        <v>#DIV/0!</v>
      </c>
      <c r="U30" s="122">
        <f>(C30*$F$36)-($H$36*J30)</f>
        <v>0</v>
      </c>
      <c r="V30" s="120">
        <f>IF(R30&lt;&gt;0,((C30*$F$36-J30*$H$36)/R30),0)</f>
        <v>0</v>
      </c>
      <c r="W30" s="276">
        <f t="shared" si="4"/>
        <v>0</v>
      </c>
    </row>
    <row r="31" spans="1:23" x14ac:dyDescent="0.25">
      <c r="A31" s="127" t="s">
        <v>16</v>
      </c>
      <c r="B31" s="128">
        <f>SUM(B27:B30)</f>
        <v>1</v>
      </c>
      <c r="C31" s="129">
        <f>SUM(C27:C30)</f>
        <v>100000</v>
      </c>
      <c r="D31" s="130">
        <f>(D27*B27)+(D28*B28)+(D29*B29)+(B30*D30)</f>
        <v>40</v>
      </c>
      <c r="E31" s="130">
        <f>SUM(E27:E30)</f>
        <v>1000</v>
      </c>
      <c r="F31" s="130">
        <f t="shared" ref="F31:G31" si="5">SUM(F27:F30)</f>
        <v>985</v>
      </c>
      <c r="G31" s="130">
        <f t="shared" si="5"/>
        <v>15</v>
      </c>
      <c r="H31" s="130">
        <f>SUM(H27:H30)</f>
        <v>640.25</v>
      </c>
      <c r="I31" s="130">
        <f>SUM(I27:I30)</f>
        <v>9.75</v>
      </c>
      <c r="J31" s="131">
        <f>H31+I31</f>
        <v>650</v>
      </c>
      <c r="K31" s="130">
        <f t="shared" ref="K31:Q31" si="6">SUM(K27:K30)</f>
        <v>0.28337230134121927</v>
      </c>
      <c r="L31" s="130">
        <f t="shared" si="6"/>
        <v>45.422376225706856</v>
      </c>
      <c r="M31" s="132">
        <f t="shared" si="6"/>
        <v>45.705748527048073</v>
      </c>
      <c r="N31" s="132">
        <f t="shared" si="6"/>
        <v>44.374513133056382</v>
      </c>
      <c r="O31" s="132">
        <f t="shared" si="6"/>
        <v>43.082051585491634</v>
      </c>
      <c r="P31" s="132">
        <f t="shared" si="6"/>
        <v>41.827234549021</v>
      </c>
      <c r="Q31" s="132">
        <f t="shared" si="6"/>
        <v>40.608965581573791</v>
      </c>
      <c r="R31" s="132">
        <f>SUM(R27:R30)</f>
        <v>215.59851337619088</v>
      </c>
      <c r="S31" s="129">
        <f>R31/H31</f>
        <v>0.3367411376434063</v>
      </c>
      <c r="T31" s="129">
        <f>R31/I31</f>
        <v>22.112668038583681</v>
      </c>
      <c r="U31" s="133">
        <f>(C31*$F$36)-($H$36*J31)</f>
        <v>550500</v>
      </c>
      <c r="V31" s="275">
        <f>(C31*$F$36-J31*$H$36)/R31</f>
        <v>2553.3571237546075</v>
      </c>
      <c r="W31" s="277">
        <f t="shared" si="4"/>
        <v>56461.538461538461</v>
      </c>
    </row>
    <row r="32" spans="1:23" x14ac:dyDescent="0.25">
      <c r="A32" s="317" t="s">
        <v>96</v>
      </c>
      <c r="B32" s="318">
        <v>0</v>
      </c>
      <c r="C32" s="319">
        <v>0</v>
      </c>
      <c r="D32" s="320">
        <f>D31</f>
        <v>40</v>
      </c>
      <c r="E32" s="320">
        <f>E31</f>
        <v>1000</v>
      </c>
      <c r="F32" s="320">
        <f>F31</f>
        <v>985</v>
      </c>
      <c r="G32" s="320">
        <f>G31</f>
        <v>15</v>
      </c>
      <c r="H32" s="320">
        <v>0</v>
      </c>
      <c r="I32" s="320">
        <v>0</v>
      </c>
      <c r="J32" s="321">
        <v>0</v>
      </c>
      <c r="K32" s="320">
        <f>F32*'Charts and Tables'!$C$33*'Charts and Tables'!$B$37/'Charts and Tables'!$B$7/(1+'Charts and Tables'!B35)^C36</f>
        <v>0.43595738667879891</v>
      </c>
      <c r="L32" s="322">
        <f>G32/'Charts and Tables'!$B$35*(1-EXP(-'Charts and Tables'!$B$35*D32))/'Charts and Tables'!$B$7</f>
        <v>69.880578808779788</v>
      </c>
      <c r="M32" s="322">
        <f>(L32+K32)/(1+'Charts and Tables'!$B$35)^(0)</f>
        <v>70.316536195458582</v>
      </c>
      <c r="N32" s="322">
        <f>($K32+L32)/(1+'Charts and Tables'!$B$35)^1</f>
        <v>68.268481743163676</v>
      </c>
      <c r="O32" s="322">
        <f>(L32+$K32)/(1+'Charts and Tables'!$B$35)^2</f>
        <v>66.280079362294828</v>
      </c>
      <c r="P32" s="322">
        <f>($K32+L32)/(1+'Charts and Tables'!$B$35)^3</f>
        <v>64.349591613878474</v>
      </c>
      <c r="Q32" s="322">
        <f>(L32+$K32)/(1+'Charts and Tables'!$B$35)^4</f>
        <v>62.475331663959686</v>
      </c>
      <c r="R32" s="322">
        <f>R31/('Charts and Tables'!B11*'Charts and Tables'!B26+'Charts and Tables'!B12*'Charts and Tables'!B27+'Charts and Tables'!B13*'Charts and Tables'!B28+'Charts and Tables'!B14*'Charts and Tables'!B29)</f>
        <v>331.6900205787552</v>
      </c>
      <c r="S32" s="319"/>
      <c r="T32" s="319"/>
      <c r="U32" s="323"/>
      <c r="V32" s="319"/>
      <c r="W32" s="324"/>
    </row>
    <row r="33" spans="1:21" x14ac:dyDescent="0.25">
      <c r="J33" s="126"/>
    </row>
    <row r="34" spans="1:21" ht="16.5" thickBot="1" x14ac:dyDescent="0.3">
      <c r="H34" s="63"/>
      <c r="I34" s="63"/>
      <c r="J34" s="64"/>
    </row>
    <row r="35" spans="1:21" x14ac:dyDescent="0.25">
      <c r="A35" s="106" t="s">
        <v>105</v>
      </c>
      <c r="B35" s="106" t="s">
        <v>80</v>
      </c>
      <c r="C35" s="106" t="s">
        <v>219</v>
      </c>
      <c r="D35" s="76" t="s">
        <v>52</v>
      </c>
      <c r="E35" s="77" t="s">
        <v>77</v>
      </c>
      <c r="F35" s="77" t="s">
        <v>1</v>
      </c>
      <c r="G35" s="77" t="s">
        <v>50</v>
      </c>
      <c r="H35" s="77" t="s">
        <v>0</v>
      </c>
      <c r="I35" s="124" t="s">
        <v>39</v>
      </c>
      <c r="J35" s="77" t="s">
        <v>47</v>
      </c>
      <c r="K35" s="76" t="s">
        <v>53</v>
      </c>
      <c r="L35" s="76" t="s">
        <v>54</v>
      </c>
      <c r="M35" s="76" t="s">
        <v>18</v>
      </c>
      <c r="N35" s="76" t="s">
        <v>29</v>
      </c>
      <c r="O35" s="76" t="s">
        <v>97</v>
      </c>
      <c r="P35" s="76" t="s">
        <v>98</v>
      </c>
      <c r="T35" s="30"/>
    </row>
    <row r="36" spans="1:21" ht="16.5" thickBot="1" x14ac:dyDescent="0.3">
      <c r="A36" s="111">
        <f>J31/E31</f>
        <v>0.65</v>
      </c>
      <c r="B36" s="112">
        <f>'Charts and Tables'!B7</f>
        <v>5</v>
      </c>
      <c r="C36" s="220">
        <f>'Charts and Tables'!B36/365</f>
        <v>1.0958904109589041E-2</v>
      </c>
      <c r="D36" s="66">
        <f>C31*F36</f>
        <v>570000</v>
      </c>
      <c r="E36" s="41">
        <f>'Charts and Tables'!F5</f>
        <v>550500</v>
      </c>
      <c r="F36" s="67">
        <f>'Charts and Tables'!B5+'Charts and Tables'!B6</f>
        <v>5.7</v>
      </c>
      <c r="G36" s="67">
        <f>'Charts and Tables'!B9</f>
        <v>750</v>
      </c>
      <c r="H36" s="67">
        <f>'Charts and Tables'!B8</f>
        <v>30</v>
      </c>
      <c r="I36" s="125">
        <v>20000</v>
      </c>
      <c r="J36" s="68">
        <f>'Charts and Tables'!F14</f>
        <v>2553.3571237546075</v>
      </c>
      <c r="K36" s="66">
        <f>H36*J31</f>
        <v>19500</v>
      </c>
      <c r="L36" s="66">
        <f>I36*I31</f>
        <v>195000</v>
      </c>
      <c r="M36" s="65">
        <f>D36-K36-L36</f>
        <v>355500</v>
      </c>
      <c r="N36" s="134">
        <f>R32</f>
        <v>331.6900205787552</v>
      </c>
      <c r="O36" s="102">
        <f>N36*G36</f>
        <v>248767.51543406639</v>
      </c>
      <c r="P36" s="102">
        <f>O36*3</f>
        <v>746302.54630219913</v>
      </c>
      <c r="U36" s="102"/>
    </row>
    <row r="37" spans="1:21" x14ac:dyDescent="0.25">
      <c r="A37" s="41"/>
      <c r="B37" s="42"/>
      <c r="C37" s="43"/>
      <c r="D37" s="116"/>
      <c r="E37" s="44"/>
      <c r="F37" s="45"/>
      <c r="S37" s="102"/>
    </row>
    <row r="38" spans="1:21" x14ac:dyDescent="0.25">
      <c r="J38" s="102"/>
    </row>
    <row r="39" spans="1:21" ht="18.75" x14ac:dyDescent="0.3">
      <c r="A39" s="333" t="s">
        <v>212</v>
      </c>
      <c r="B39" s="333"/>
      <c r="C39" s="333"/>
      <c r="D39" s="333"/>
    </row>
    <row r="40" spans="1:21" x14ac:dyDescent="0.25">
      <c r="A40" s="205">
        <v>0</v>
      </c>
      <c r="B40" s="204">
        <v>0</v>
      </c>
      <c r="C40" s="206">
        <v>0</v>
      </c>
    </row>
    <row r="41" spans="1:21" x14ac:dyDescent="0.25">
      <c r="A41" s="208">
        <f>A45/5</f>
        <v>80</v>
      </c>
      <c r="B41" s="207">
        <f>A41*$G$36</f>
        <v>60000</v>
      </c>
      <c r="C41" s="207">
        <f>A41*$G$36*3</f>
        <v>180000</v>
      </c>
    </row>
    <row r="42" spans="1:21" x14ac:dyDescent="0.25">
      <c r="A42" s="208">
        <f>A41+A41</f>
        <v>160</v>
      </c>
      <c r="B42" s="207">
        <f>A42*$G$36</f>
        <v>120000</v>
      </c>
      <c r="C42" s="207">
        <f>A42*$G$36*3</f>
        <v>360000</v>
      </c>
    </row>
    <row r="43" spans="1:21" x14ac:dyDescent="0.25">
      <c r="A43" s="208">
        <f>A42+A41</f>
        <v>240</v>
      </c>
      <c r="B43" s="207">
        <f>A43*$G$36</f>
        <v>180000</v>
      </c>
      <c r="C43" s="207">
        <f>A43*$G$36*3</f>
        <v>540000</v>
      </c>
    </row>
    <row r="44" spans="1:21" x14ac:dyDescent="0.25">
      <c r="A44" s="208">
        <f>A43+A41</f>
        <v>320</v>
      </c>
      <c r="B44" s="207">
        <f>A44*$G$36</f>
        <v>240000</v>
      </c>
      <c r="C44" s="207">
        <f>A44*$G$36*3</f>
        <v>720000</v>
      </c>
      <c r="K44" s="221"/>
    </row>
    <row r="45" spans="1:21" x14ac:dyDescent="0.25">
      <c r="A45" s="209">
        <f>ROUND(R32+100,-2)</f>
        <v>400</v>
      </c>
      <c r="B45" s="210">
        <f>A45*$G$36</f>
        <v>300000</v>
      </c>
      <c r="C45" s="210">
        <f>A45*$G$36*3</f>
        <v>900000</v>
      </c>
    </row>
    <row r="46" spans="1:21" x14ac:dyDescent="0.25">
      <c r="J46" s="102"/>
      <c r="K46" s="102"/>
      <c r="P46" s="203"/>
    </row>
    <row r="47" spans="1:21" ht="18.75" x14ac:dyDescent="0.3">
      <c r="A47" s="147" t="s">
        <v>100</v>
      </c>
      <c r="H47" s="97"/>
      <c r="I47" s="97"/>
      <c r="L47" s="102"/>
    </row>
    <row r="48" spans="1:21" x14ac:dyDescent="0.25">
      <c r="A48" s="325" t="s">
        <v>48</v>
      </c>
      <c r="B48" s="325" t="s">
        <v>2</v>
      </c>
      <c r="C48" s="325" t="s">
        <v>3</v>
      </c>
      <c r="D48" s="325" t="s">
        <v>51</v>
      </c>
      <c r="E48" s="325" t="s">
        <v>74</v>
      </c>
      <c r="F48" s="325" t="s">
        <v>49</v>
      </c>
      <c r="G48" s="325" t="s">
        <v>63</v>
      </c>
      <c r="H48" s="326" t="s">
        <v>286</v>
      </c>
      <c r="I48" s="326" t="s">
        <v>287</v>
      </c>
      <c r="J48" s="325" t="s">
        <v>108</v>
      </c>
      <c r="L48" s="30"/>
    </row>
    <row r="49" spans="1:18" x14ac:dyDescent="0.25">
      <c r="A49" s="31">
        <v>0</v>
      </c>
      <c r="B49" s="48">
        <f>'Charts and Tables'!B9</f>
        <v>750</v>
      </c>
      <c r="C49" s="48">
        <f>B49*2</f>
        <v>1500</v>
      </c>
      <c r="D49" s="48">
        <f>B49*3</f>
        <v>2250</v>
      </c>
      <c r="E49" s="49">
        <f>(C27*$F$36-$H$36*J27)/R27</f>
        <v>2553.3571237546075</v>
      </c>
      <c r="F49" s="49">
        <f t="shared" ref="F49:F56" si="7">$J$36</f>
        <v>2553.3571237546075</v>
      </c>
      <c r="G49" s="151"/>
      <c r="H49" s="152">
        <f>H50</f>
        <v>2250</v>
      </c>
      <c r="I49" s="152">
        <f>I50</f>
        <v>750</v>
      </c>
      <c r="J49" s="151"/>
      <c r="L49" s="30"/>
    </row>
    <row r="50" spans="1:18" x14ac:dyDescent="0.25">
      <c r="A50" s="50">
        <f>A51-0.001</f>
        <v>0.999</v>
      </c>
      <c r="B50" s="48">
        <f>B49</f>
        <v>750</v>
      </c>
      <c r="C50" s="48">
        <f>C49</f>
        <v>1500</v>
      </c>
      <c r="D50" s="48">
        <f>D49</f>
        <v>2250</v>
      </c>
      <c r="E50" s="49">
        <f>E49</f>
        <v>2553.3571237546075</v>
      </c>
      <c r="F50" s="49">
        <f t="shared" si="7"/>
        <v>2553.3571237546075</v>
      </c>
      <c r="G50" s="151" t="str">
        <f>'Charts and Tables'!$A$11</f>
        <v>Group 1</v>
      </c>
      <c r="H50" s="152">
        <f>D49</f>
        <v>2250</v>
      </c>
      <c r="I50" s="152">
        <f>B49</f>
        <v>750</v>
      </c>
      <c r="J50" s="153">
        <f>E50</f>
        <v>2553.3571237546075</v>
      </c>
    </row>
    <row r="51" spans="1:18" x14ac:dyDescent="0.25">
      <c r="A51" s="50">
        <f>'Charts and Tables'!B11</f>
        <v>1</v>
      </c>
      <c r="B51" s="48">
        <f>B49</f>
        <v>750</v>
      </c>
      <c r="C51" s="48">
        <f>C49</f>
        <v>1500</v>
      </c>
      <c r="D51" s="48">
        <f>D49</f>
        <v>2250</v>
      </c>
      <c r="E51" s="49" t="e">
        <f>(C28*$F$36-$H$36*J28)/R28</f>
        <v>#DIV/0!</v>
      </c>
      <c r="F51" s="49">
        <f t="shared" si="7"/>
        <v>2553.3571237546075</v>
      </c>
      <c r="G51" s="169" t="str">
        <f>'Charts and Tables'!A12</f>
        <v>Group 2</v>
      </c>
      <c r="H51" s="152">
        <f>D50</f>
        <v>2250</v>
      </c>
      <c r="I51" s="152">
        <f>B50</f>
        <v>750</v>
      </c>
      <c r="J51" s="153" t="e">
        <f>E52</f>
        <v>#DIV/0!</v>
      </c>
      <c r="P51" s="4"/>
      <c r="Q51" s="4"/>
      <c r="R51" s="4"/>
    </row>
    <row r="52" spans="1:18" x14ac:dyDescent="0.25">
      <c r="A52" s="50">
        <f>A53-0.001</f>
        <v>0.999</v>
      </c>
      <c r="B52" s="48">
        <f>B51</f>
        <v>750</v>
      </c>
      <c r="C52" s="48">
        <f>C51</f>
        <v>1500</v>
      </c>
      <c r="D52" s="48">
        <f>D51</f>
        <v>2250</v>
      </c>
      <c r="E52" s="49" t="e">
        <f>E51</f>
        <v>#DIV/0!</v>
      </c>
      <c r="F52" s="49">
        <f t="shared" si="7"/>
        <v>2553.3571237546075</v>
      </c>
      <c r="G52" s="168" t="str">
        <f>'Charts and Tables'!A13</f>
        <v>Group 3</v>
      </c>
      <c r="H52" s="152">
        <f>D51</f>
        <v>2250</v>
      </c>
      <c r="I52" s="152">
        <f>B51</f>
        <v>750</v>
      </c>
      <c r="J52" s="153" t="e">
        <f>E54</f>
        <v>#DIV/0!</v>
      </c>
      <c r="P52" s="5"/>
      <c r="Q52" s="4"/>
      <c r="R52" s="4"/>
    </row>
    <row r="53" spans="1:18" x14ac:dyDescent="0.25">
      <c r="A53" s="50">
        <f>A51+'Charts and Tables'!B12</f>
        <v>1</v>
      </c>
      <c r="B53" s="48">
        <f>B49</f>
        <v>750</v>
      </c>
      <c r="C53" s="48">
        <f>C49</f>
        <v>1500</v>
      </c>
      <c r="D53" s="48">
        <f>D51</f>
        <v>2250</v>
      </c>
      <c r="E53" s="49" t="e">
        <f>(C29*$F$36-$H$36*J29)/R29</f>
        <v>#DIV/0!</v>
      </c>
      <c r="F53" s="49">
        <f t="shared" si="7"/>
        <v>2553.3571237546075</v>
      </c>
      <c r="G53" s="166" t="str">
        <f>'Charts and Tables'!A14</f>
        <v>Group 4</v>
      </c>
      <c r="H53" s="152">
        <f>D52</f>
        <v>2250</v>
      </c>
      <c r="I53" s="152">
        <f>B52</f>
        <v>750</v>
      </c>
      <c r="J53" s="153" t="e">
        <f>E56</f>
        <v>#DIV/0!</v>
      </c>
      <c r="P53" s="5"/>
      <c r="Q53" s="4"/>
      <c r="R53" s="4"/>
    </row>
    <row r="54" spans="1:18" x14ac:dyDescent="0.25">
      <c r="A54" s="50">
        <f>A55-0.001</f>
        <v>0.999</v>
      </c>
      <c r="B54" s="48">
        <f>B53</f>
        <v>750</v>
      </c>
      <c r="C54" s="48">
        <f>C53</f>
        <v>1500</v>
      </c>
      <c r="D54" s="48">
        <f>D53</f>
        <v>2250</v>
      </c>
      <c r="E54" s="49" t="e">
        <f>E53</f>
        <v>#DIV/0!</v>
      </c>
      <c r="F54" s="49">
        <f t="shared" si="7"/>
        <v>2553.3571237546075</v>
      </c>
      <c r="G54" s="180" t="s">
        <v>16</v>
      </c>
      <c r="H54" s="152">
        <f>D53</f>
        <v>2250</v>
      </c>
      <c r="I54" s="152">
        <f>B53</f>
        <v>750</v>
      </c>
      <c r="J54" s="153">
        <f>J36</f>
        <v>2553.3571237546075</v>
      </c>
    </row>
    <row r="55" spans="1:18" x14ac:dyDescent="0.25">
      <c r="A55" s="50">
        <f>A53+'Charts and Tables'!B13</f>
        <v>1</v>
      </c>
      <c r="B55" s="48">
        <f>B53</f>
        <v>750</v>
      </c>
      <c r="C55" s="48">
        <f>C53</f>
        <v>1500</v>
      </c>
      <c r="D55" s="48">
        <f>D53</f>
        <v>2250</v>
      </c>
      <c r="E55" s="49" t="e">
        <f>(C30*$F$36-$H$36*J30)/R30</f>
        <v>#DIV/0!</v>
      </c>
      <c r="F55" s="49">
        <f t="shared" si="7"/>
        <v>2553.3571237546075</v>
      </c>
      <c r="G55" s="151"/>
      <c r="H55" s="152">
        <f>H54</f>
        <v>2250</v>
      </c>
      <c r="I55" s="152">
        <f>I54</f>
        <v>750</v>
      </c>
      <c r="J55" s="151"/>
      <c r="N55" s="4"/>
      <c r="O55" s="4"/>
    </row>
    <row r="56" spans="1:18" x14ac:dyDescent="0.25">
      <c r="A56" s="51">
        <f>A55+'Charts and Tables'!B14</f>
        <v>1</v>
      </c>
      <c r="B56" s="52">
        <f>B55</f>
        <v>750</v>
      </c>
      <c r="C56" s="52">
        <f>C55</f>
        <v>1500</v>
      </c>
      <c r="D56" s="52">
        <f>D55</f>
        <v>2250</v>
      </c>
      <c r="E56" s="53" t="e">
        <f>E55</f>
        <v>#DIV/0!</v>
      </c>
      <c r="F56" s="53">
        <f t="shared" si="7"/>
        <v>2553.3571237546075</v>
      </c>
      <c r="N56" s="4"/>
      <c r="O56" s="4"/>
    </row>
    <row r="57" spans="1:18" x14ac:dyDescent="0.25">
      <c r="N57" s="4"/>
      <c r="O57" s="4"/>
    </row>
    <row r="58" spans="1:18" x14ac:dyDescent="0.25">
      <c r="A58" s="25" t="s">
        <v>101</v>
      </c>
    </row>
    <row r="59" spans="1:18" x14ac:dyDescent="0.25">
      <c r="A59" s="327" t="s">
        <v>34</v>
      </c>
      <c r="B59" s="328" t="s">
        <v>55</v>
      </c>
      <c r="C59" s="327" t="s">
        <v>56</v>
      </c>
      <c r="D59" s="327" t="s">
        <v>57</v>
      </c>
      <c r="E59" s="327" t="s">
        <v>58</v>
      </c>
      <c r="F59" s="329" t="s">
        <v>65</v>
      </c>
      <c r="G59" s="329" t="s">
        <v>66</v>
      </c>
    </row>
    <row r="60" spans="1:18" x14ac:dyDescent="0.25">
      <c r="A60" s="31">
        <v>0</v>
      </c>
      <c r="B60" s="78">
        <f>($D$36*A60/($H$36+$I$36*'Charts and Tables'!B21))/$F$31</f>
        <v>0</v>
      </c>
      <c r="C60" s="78">
        <v>0</v>
      </c>
      <c r="D60" s="78">
        <v>0</v>
      </c>
      <c r="E60" s="98">
        <v>0</v>
      </c>
      <c r="F60" s="99">
        <v>0</v>
      </c>
      <c r="G60" s="99">
        <v>0</v>
      </c>
    </row>
    <row r="61" spans="1:18" x14ac:dyDescent="0.25">
      <c r="A61" s="50">
        <f>E42</f>
        <v>0</v>
      </c>
      <c r="B61" s="78">
        <f>($D$36*A61/($H$36+$I$36*'Charts and Tables'!B21))/$F$31</f>
        <v>0</v>
      </c>
      <c r="C61" s="78">
        <f>($D$36*A61/($H$36+0.5*$I$36*'Charts and Tables'!B21))/$F$31</f>
        <v>0</v>
      </c>
      <c r="D61" s="78">
        <f>($D$36*A61/($H$36+2*$I$36*'Charts and Tables'!B21))/$F$31</f>
        <v>0</v>
      </c>
      <c r="E61" s="47">
        <f>J27/E31</f>
        <v>0.65</v>
      </c>
      <c r="F61" s="100">
        <f>B61*2</f>
        <v>0</v>
      </c>
      <c r="G61" s="100">
        <f>B61/2</f>
        <v>0</v>
      </c>
    </row>
    <row r="62" spans="1:18" x14ac:dyDescent="0.25">
      <c r="A62" s="50">
        <f>E43</f>
        <v>0</v>
      </c>
      <c r="B62" s="78">
        <f>($D$36*(A62-A61)/($H$36+$I$36*'Charts and Tables'!B22))/$F$31+B61</f>
        <v>0</v>
      </c>
      <c r="C62" s="78">
        <f>($D$36*($A62-$A61)/($H$36+0.5*$I$36*'Charts and Tables'!B22))/$F$31+C61</f>
        <v>0</v>
      </c>
      <c r="D62" s="78">
        <f>($D$36*($A62-$A61)/($H$36+2*$I$36*'Charts and Tables'!B22))/$F$31+D61</f>
        <v>0</v>
      </c>
      <c r="E62" s="47">
        <f>J28/E31+E61</f>
        <v>0.65</v>
      </c>
      <c r="F62" s="100">
        <f t="shared" ref="F62:F64" si="8">B62*2</f>
        <v>0</v>
      </c>
      <c r="G62" s="100">
        <f>B62/2</f>
        <v>0</v>
      </c>
    </row>
    <row r="63" spans="1:18" x14ac:dyDescent="0.25">
      <c r="A63" s="51">
        <f>E44</f>
        <v>0</v>
      </c>
      <c r="B63" s="54">
        <f>($D$36*(A63-A62)/($H$36+$I$36*'Charts and Tables'!B23))/$F$31+B62</f>
        <v>0</v>
      </c>
      <c r="C63" s="54">
        <f>($D$36*($A63-$A62)/($H$36+0.5*$I$36*'Charts and Tables'!B23))/$F$31+C62</f>
        <v>0</v>
      </c>
      <c r="D63" s="54">
        <f>($D$36*($A63-$A62)/($H$36+2*$I$36*'Charts and Tables'!B23))/$F$31+D62</f>
        <v>0</v>
      </c>
      <c r="E63" s="46">
        <f>J29/E31+E62</f>
        <v>0.65</v>
      </c>
      <c r="F63" s="100">
        <f t="shared" si="8"/>
        <v>0</v>
      </c>
      <c r="G63" s="100">
        <f>B63/2</f>
        <v>0</v>
      </c>
    </row>
    <row r="64" spans="1:18" x14ac:dyDescent="0.25">
      <c r="A64" s="51">
        <v>1</v>
      </c>
      <c r="B64" s="54">
        <f>(($D$36*(A64-A63)/($H$36+$I$36*'Charts and Tables'!B24))/$F$31)+B63</f>
        <v>19.289340101522843</v>
      </c>
      <c r="C64" s="54">
        <f>($D$36*($A64-$A63)/($H$36+0.5*$I$36*'Charts and Tables'!B24))/$F$31+C63</f>
        <v>19.289340101522843</v>
      </c>
      <c r="D64" s="54">
        <f>($D$36*($A64-$A63)/($H$36+2*$I$36*'Charts and Tables'!B24))/$F$31+D63</f>
        <v>19.289340101522843</v>
      </c>
      <c r="E64" s="46">
        <f>J30/E31+E63</f>
        <v>0.65</v>
      </c>
      <c r="F64" s="101">
        <f t="shared" si="8"/>
        <v>38.578680203045685</v>
      </c>
      <c r="G64" s="101">
        <f>B64/2</f>
        <v>9.6446700507614214</v>
      </c>
    </row>
    <row r="66" spans="1:9" ht="18.75" x14ac:dyDescent="0.3">
      <c r="A66" s="147" t="s">
        <v>102</v>
      </c>
    </row>
    <row r="67" spans="1:9" x14ac:dyDescent="0.25">
      <c r="A67" s="330" t="s">
        <v>48</v>
      </c>
      <c r="B67" s="331" t="s">
        <v>59</v>
      </c>
      <c r="C67" s="330" t="s">
        <v>5</v>
      </c>
      <c r="D67" s="332" t="s">
        <v>47</v>
      </c>
      <c r="E67" s="332" t="s">
        <v>17</v>
      </c>
      <c r="F67" s="332" t="s">
        <v>6</v>
      </c>
      <c r="G67" s="332" t="s">
        <v>288</v>
      </c>
      <c r="H67" s="332" t="s">
        <v>25</v>
      </c>
      <c r="I67" s="83"/>
    </row>
    <row r="68" spans="1:9" x14ac:dyDescent="0.25">
      <c r="A68" s="47">
        <v>1E-3</v>
      </c>
      <c r="B68" s="84">
        <v>1.156534E-2</v>
      </c>
      <c r="C68" s="79">
        <v>0</v>
      </c>
      <c r="D68" s="49">
        <f>E69/F69</f>
        <v>636.16127528960862</v>
      </c>
      <c r="E68" s="31">
        <v>0</v>
      </c>
      <c r="F68" s="31">
        <v>0</v>
      </c>
      <c r="G68" s="31">
        <v>0</v>
      </c>
      <c r="H68" s="31">
        <v>0</v>
      </c>
      <c r="I68" s="81"/>
    </row>
    <row r="69" spans="1:9" x14ac:dyDescent="0.25">
      <c r="A69" s="47">
        <f>A70-0.001</f>
        <v>9.9000000000000005E-2</v>
      </c>
      <c r="B69" s="85">
        <v>7.6209019999999997E-3</v>
      </c>
      <c r="C69" s="79">
        <v>0.34100000000000003</v>
      </c>
      <c r="D69" s="49">
        <f>D68</f>
        <v>636.16127528960862</v>
      </c>
      <c r="E69" s="49">
        <f t="shared" ref="E69:H69" si="9">E70</f>
        <v>46770</v>
      </c>
      <c r="F69" s="86">
        <f>F70</f>
        <v>73.519093061281097</v>
      </c>
      <c r="G69" s="49">
        <f t="shared" si="9"/>
        <v>57000</v>
      </c>
      <c r="H69" s="49">
        <f t="shared" si="9"/>
        <v>10230</v>
      </c>
      <c r="I69" s="82"/>
    </row>
    <row r="70" spans="1:9" x14ac:dyDescent="0.25">
      <c r="A70" s="47">
        <v>0.1</v>
      </c>
      <c r="B70" s="85">
        <v>7.6209019999999997E-3</v>
      </c>
      <c r="C70" s="79">
        <v>0.34100000000000003</v>
      </c>
      <c r="D70" s="49">
        <f>E72/F72</f>
        <v>945.86055069474037</v>
      </c>
      <c r="E70" s="87">
        <f>A70*$C$31*$F$36-($E$31*C70*$H$36)</f>
        <v>46770</v>
      </c>
      <c r="F70" s="86">
        <f>C70*R31</f>
        <v>73.519093061281097</v>
      </c>
      <c r="G70" s="49">
        <f>A70*$D$36</f>
        <v>57000</v>
      </c>
      <c r="H70" s="49">
        <f>G70-E70</f>
        <v>10230</v>
      </c>
      <c r="I70" s="82"/>
    </row>
    <row r="71" spans="1:9" x14ac:dyDescent="0.25">
      <c r="A71" s="47">
        <f>A72-0.001</f>
        <v>0.29899999999999999</v>
      </c>
      <c r="B71" s="85">
        <f>B72</f>
        <v>3.1108220000000001E-3</v>
      </c>
      <c r="C71" s="79">
        <v>0.73099999999999998</v>
      </c>
      <c r="D71" s="49">
        <f>D70</f>
        <v>945.86055069474037</v>
      </c>
      <c r="E71" s="87">
        <f>E72</f>
        <v>149070</v>
      </c>
      <c r="F71" s="86">
        <f>F72</f>
        <v>157.60251327799554</v>
      </c>
      <c r="G71" s="49">
        <f>G72</f>
        <v>171000</v>
      </c>
      <c r="H71" s="49">
        <f>H72</f>
        <v>21930</v>
      </c>
      <c r="I71" s="82"/>
    </row>
    <row r="72" spans="1:9" x14ac:dyDescent="0.25">
      <c r="A72" s="47">
        <v>0.3</v>
      </c>
      <c r="B72" s="85">
        <v>3.1108220000000001E-3</v>
      </c>
      <c r="C72" s="79">
        <v>0.73099999999999998</v>
      </c>
      <c r="D72" s="49">
        <f>E74/F74</f>
        <v>1321.517122776633</v>
      </c>
      <c r="E72" s="87">
        <f>A72*$C$31*$F$36-($E$31*C72*$H$36)</f>
        <v>149070</v>
      </c>
      <c r="F72" s="86">
        <f>$R$31*C72</f>
        <v>157.60251327799554</v>
      </c>
      <c r="G72" s="49">
        <f>A72*$D$36</f>
        <v>171000</v>
      </c>
      <c r="H72" s="49">
        <f>G72-E72</f>
        <v>21930</v>
      </c>
      <c r="I72" s="82"/>
    </row>
    <row r="73" spans="1:9" x14ac:dyDescent="0.25">
      <c r="A73" s="47">
        <f>A74-0.001</f>
        <v>0.499</v>
      </c>
      <c r="B73" s="85">
        <f>B74</f>
        <v>1.0990279999999999E-3</v>
      </c>
      <c r="C73" s="79">
        <f>C74</f>
        <v>0.90500000000000003</v>
      </c>
      <c r="D73" s="49">
        <f>D72</f>
        <v>1321.517122776633</v>
      </c>
      <c r="E73" s="87">
        <f>E74</f>
        <v>257850</v>
      </c>
      <c r="F73" s="86">
        <f>F74</f>
        <v>195.11665460545277</v>
      </c>
      <c r="G73" s="49">
        <f>G74</f>
        <v>285000</v>
      </c>
      <c r="H73" s="49">
        <f>H74</f>
        <v>27150</v>
      </c>
      <c r="I73" s="82"/>
    </row>
    <row r="74" spans="1:9" x14ac:dyDescent="0.25">
      <c r="A74" s="47">
        <v>0.5</v>
      </c>
      <c r="B74" s="85">
        <v>1.0990279999999999E-3</v>
      </c>
      <c r="C74" s="79">
        <v>0.90500000000000003</v>
      </c>
      <c r="D74" s="49">
        <f>E76/F76</f>
        <v>1749.6686715290011</v>
      </c>
      <c r="E74" s="87">
        <f>A74*$C$31*$F$36-($E$31*C74*$H$36)</f>
        <v>257850</v>
      </c>
      <c r="F74" s="86">
        <f>$R$31*C74</f>
        <v>195.11665460545277</v>
      </c>
      <c r="G74" s="49">
        <f>A74*$D$36</f>
        <v>285000</v>
      </c>
      <c r="H74" s="49">
        <f>G74-E74</f>
        <v>27150</v>
      </c>
      <c r="I74" s="82"/>
    </row>
    <row r="75" spans="1:9" x14ac:dyDescent="0.25">
      <c r="A75" s="47">
        <f>A76-0.001</f>
        <v>0.69899999999999995</v>
      </c>
      <c r="B75" s="85">
        <f>B76</f>
        <v>2.3310090000000001E-4</v>
      </c>
      <c r="C75" s="79">
        <f>C76</f>
        <v>0.9798</v>
      </c>
      <c r="D75" s="49">
        <f>D74</f>
        <v>1749.6686715290011</v>
      </c>
      <c r="E75" s="87">
        <f>E76</f>
        <v>369606</v>
      </c>
      <c r="F75" s="86">
        <f>F76</f>
        <v>211.24342340599182</v>
      </c>
      <c r="G75" s="49">
        <f>G76</f>
        <v>399000</v>
      </c>
      <c r="H75" s="49">
        <f>H76</f>
        <v>29394</v>
      </c>
    </row>
    <row r="76" spans="1:9" x14ac:dyDescent="0.25">
      <c r="A76" s="47">
        <v>0.7</v>
      </c>
      <c r="B76" s="85">
        <v>2.3310090000000001E-4</v>
      </c>
      <c r="C76" s="79">
        <v>0.9798</v>
      </c>
      <c r="D76" s="49">
        <f>E78/F78</f>
        <v>2249.8311021165973</v>
      </c>
      <c r="E76" s="87">
        <f>A76*$C$31*$F$36-($E$31*C76*$H$36)</f>
        <v>369606</v>
      </c>
      <c r="F76" s="86">
        <f>$R$31*C76</f>
        <v>211.24342340599182</v>
      </c>
      <c r="G76" s="49">
        <f>A76*$D$36</f>
        <v>399000</v>
      </c>
      <c r="H76" s="49">
        <f>G76-E76</f>
        <v>29394</v>
      </c>
    </row>
    <row r="77" spans="1:9" x14ac:dyDescent="0.25">
      <c r="A77" s="47">
        <f>A78-0.001</f>
        <v>0.89900000000000002</v>
      </c>
      <c r="B77" s="85">
        <f>B78</f>
        <v>4.9285739999999997E-5</v>
      </c>
      <c r="C77" s="79">
        <f>C78</f>
        <v>0.996</v>
      </c>
      <c r="D77" s="49">
        <f>D76</f>
        <v>2249.8311021165973</v>
      </c>
      <c r="E77" s="87">
        <f>E78</f>
        <v>483120</v>
      </c>
      <c r="F77" s="86">
        <f>F78</f>
        <v>214.73611932268611</v>
      </c>
      <c r="G77" s="49">
        <f>G78</f>
        <v>513000</v>
      </c>
      <c r="H77" s="49">
        <f>H78</f>
        <v>29880</v>
      </c>
    </row>
    <row r="78" spans="1:9" x14ac:dyDescent="0.25">
      <c r="A78" s="47">
        <v>0.9</v>
      </c>
      <c r="B78" s="85">
        <v>4.9285739999999997E-5</v>
      </c>
      <c r="C78" s="79">
        <v>0.996</v>
      </c>
      <c r="D78" s="49">
        <f>E79/F79</f>
        <v>2509.9536916792954</v>
      </c>
      <c r="E78" s="87">
        <f>A78*$C$31*$F$36-($E$31*C78*$H$36)</f>
        <v>483120</v>
      </c>
      <c r="F78" s="86">
        <f>$R$31*C78</f>
        <v>214.73611932268611</v>
      </c>
      <c r="G78" s="49">
        <f>A78*$D$36</f>
        <v>513000</v>
      </c>
      <c r="H78" s="49">
        <f>G78-E78</f>
        <v>29880</v>
      </c>
    </row>
    <row r="79" spans="1:9" x14ac:dyDescent="0.25">
      <c r="A79" s="46">
        <v>1</v>
      </c>
      <c r="B79" s="88">
        <v>2.137891E-5</v>
      </c>
      <c r="C79" s="80">
        <v>0.998</v>
      </c>
      <c r="D79" s="53">
        <f>E79/F79</f>
        <v>2509.9536916792954</v>
      </c>
      <c r="E79" s="40">
        <f>A79*$C$31*$F$36-($E$31*C79*$H$36)</f>
        <v>540060</v>
      </c>
      <c r="F79" s="89">
        <f>$R$31*C79</f>
        <v>215.16731634943849</v>
      </c>
      <c r="G79" s="53">
        <f>A79*$D$36</f>
        <v>570000</v>
      </c>
      <c r="H79" s="53">
        <f>G79-E79</f>
        <v>29940</v>
      </c>
    </row>
    <row r="81" spans="1:18" ht="18.75" x14ac:dyDescent="0.3">
      <c r="A81" s="147" t="s">
        <v>103</v>
      </c>
    </row>
    <row r="82" spans="1:18" ht="18" x14ac:dyDescent="0.25">
      <c r="A82" s="110" t="s">
        <v>284</v>
      </c>
      <c r="B82" s="110" t="s">
        <v>79</v>
      </c>
      <c r="C82" s="110" t="s">
        <v>285</v>
      </c>
      <c r="D82" s="110" t="s">
        <v>289</v>
      </c>
      <c r="E82" s="110" t="s">
        <v>290</v>
      </c>
      <c r="F82" s="109" t="s">
        <v>291</v>
      </c>
      <c r="G82" s="109" t="s">
        <v>292</v>
      </c>
      <c r="H82" s="109" t="s">
        <v>293</v>
      </c>
      <c r="I82" s="288" t="s">
        <v>213</v>
      </c>
      <c r="J82" s="288" t="s">
        <v>294</v>
      </c>
      <c r="K82" s="288" t="s">
        <v>295</v>
      </c>
      <c r="L82" s="288" t="s">
        <v>296</v>
      </c>
      <c r="M82" s="288" t="s">
        <v>297</v>
      </c>
      <c r="N82" s="288" t="s">
        <v>298</v>
      </c>
      <c r="O82" s="288" t="s">
        <v>299</v>
      </c>
      <c r="P82" s="288" t="s">
        <v>300</v>
      </c>
      <c r="Q82" s="288" t="s">
        <v>301</v>
      </c>
      <c r="R82" s="288" t="s">
        <v>302</v>
      </c>
    </row>
    <row r="83" spans="1:18" x14ac:dyDescent="0.25">
      <c r="A83" s="110" t="s">
        <v>4</v>
      </c>
      <c r="B83" s="110" t="s">
        <v>3</v>
      </c>
      <c r="C83" s="110" t="s">
        <v>2</v>
      </c>
      <c r="D83" s="110"/>
      <c r="E83" s="110" t="s">
        <v>81</v>
      </c>
      <c r="F83" s="110" t="s">
        <v>82</v>
      </c>
      <c r="G83" s="110" t="s">
        <v>83</v>
      </c>
      <c r="H83" s="110" t="s">
        <v>84</v>
      </c>
      <c r="I83" s="217">
        <v>1</v>
      </c>
      <c r="J83" s="217">
        <v>2</v>
      </c>
      <c r="K83" s="217">
        <v>3</v>
      </c>
      <c r="L83" s="217">
        <v>4</v>
      </c>
      <c r="M83" s="217">
        <v>5</v>
      </c>
      <c r="N83" s="217">
        <v>6</v>
      </c>
      <c r="O83" s="217">
        <v>7</v>
      </c>
      <c r="P83" s="217">
        <v>8</v>
      </c>
      <c r="Q83" s="217">
        <v>9</v>
      </c>
      <c r="R83" s="217">
        <v>10</v>
      </c>
    </row>
    <row r="84" spans="1:18" x14ac:dyDescent="0.25">
      <c r="A84" s="105">
        <v>1</v>
      </c>
      <c r="B84" s="135">
        <f t="shared" ref="B84:B95" si="10">$E$36/$T$31/(3*$G$36)/$A$36/($A84*$C$31*$B$36/1000)</f>
        <v>3.4044761650061435E-2</v>
      </c>
      <c r="C84" s="135">
        <f t="shared" ref="C84:C95" si="11">$E$36/$T$31/$G$36/$A$36/($A84*$C$31*$B$36/1000)</f>
        <v>0.1021342849501843</v>
      </c>
      <c r="D84" s="135">
        <v>0.1</v>
      </c>
      <c r="E84" s="135">
        <f t="shared" ref="E84:E95" si="12">$E$36/$T$31/(3*$G$36)/$C$71/($A84*$C$31*$B$36/1000)</f>
        <v>3.0272359880355579E-2</v>
      </c>
      <c r="F84" s="135">
        <f t="shared" ref="F84:F95" si="13">$E$36/$T$31/(3*$G$36)/$C$73/($A84*$C$31*$B$36/1000)</f>
        <v>2.4452038754187763E-2</v>
      </c>
      <c r="G84" s="135">
        <f t="shared" ref="G84:G95" si="14">$E$36/$T$31/(3*$G$36)/$C$75/($A84*$C$31*$B$36/1000)</f>
        <v>2.2585318506368572E-2</v>
      </c>
      <c r="H84" s="135">
        <f t="shared" ref="H84:H95" si="15">$E$36/$T$31/(3*$G$36)/$C$77/($A84*$C$31*$B$36/1000)</f>
        <v>2.2217966940301134E-2</v>
      </c>
      <c r="I84" s="135">
        <f t="shared" ref="I84:R95" si="16">I$83*$C$31/$T$31/(3*$G$36)/$A$36/($A84*$C$31*$B$36/1000)</f>
        <v>6.1843345413372273E-3</v>
      </c>
      <c r="J84" s="135">
        <f t="shared" si="16"/>
        <v>1.2368669082674455E-2</v>
      </c>
      <c r="K84" s="135">
        <f t="shared" si="16"/>
        <v>1.8553003624011678E-2</v>
      </c>
      <c r="L84" s="135">
        <f t="shared" si="16"/>
        <v>2.4737338165348909E-2</v>
      </c>
      <c r="M84" s="135">
        <f t="shared" si="16"/>
        <v>3.092167270668613E-2</v>
      </c>
      <c r="N84" s="135">
        <f t="shared" si="16"/>
        <v>3.7106007248023355E-2</v>
      </c>
      <c r="O84" s="135">
        <f t="shared" si="16"/>
        <v>4.329034178936058E-2</v>
      </c>
      <c r="P84" s="135">
        <f t="shared" si="16"/>
        <v>4.9474676330697819E-2</v>
      </c>
      <c r="Q84" s="135">
        <f t="shared" si="16"/>
        <v>5.5659010872035043E-2</v>
      </c>
      <c r="R84" s="135">
        <f t="shared" si="16"/>
        <v>6.1843345413372261E-2</v>
      </c>
    </row>
    <row r="85" spans="1:18" x14ac:dyDescent="0.25">
      <c r="A85" s="105">
        <v>2</v>
      </c>
      <c r="B85" s="135">
        <f t="shared" si="10"/>
        <v>1.7022380825030718E-2</v>
      </c>
      <c r="C85" s="135">
        <f t="shared" si="11"/>
        <v>5.1067142475092149E-2</v>
      </c>
      <c r="D85" s="135">
        <v>0.1</v>
      </c>
      <c r="E85" s="135">
        <f t="shared" si="12"/>
        <v>1.5136179940177789E-2</v>
      </c>
      <c r="F85" s="135">
        <f t="shared" si="13"/>
        <v>1.2226019377093882E-2</v>
      </c>
      <c r="G85" s="135">
        <f t="shared" si="14"/>
        <v>1.1292659253184286E-2</v>
      </c>
      <c r="H85" s="135">
        <f t="shared" si="15"/>
        <v>1.1108983470150567E-2</v>
      </c>
      <c r="I85" s="135">
        <f t="shared" si="16"/>
        <v>3.0921672706686137E-3</v>
      </c>
      <c r="J85" s="135">
        <f t="shared" si="16"/>
        <v>6.1843345413372273E-3</v>
      </c>
      <c r="K85" s="135">
        <f t="shared" si="16"/>
        <v>9.2765018120058388E-3</v>
      </c>
      <c r="L85" s="135">
        <f t="shared" si="16"/>
        <v>1.2368669082674455E-2</v>
      </c>
      <c r="M85" s="135">
        <f t="shared" si="16"/>
        <v>1.5460836353343065E-2</v>
      </c>
      <c r="N85" s="135">
        <f t="shared" si="16"/>
        <v>1.8553003624011678E-2</v>
      </c>
      <c r="O85" s="135">
        <f t="shared" si="16"/>
        <v>2.164517089468029E-2</v>
      </c>
      <c r="P85" s="135">
        <f t="shared" si="16"/>
        <v>2.4737338165348909E-2</v>
      </c>
      <c r="Q85" s="135">
        <f t="shared" si="16"/>
        <v>2.7829505436017522E-2</v>
      </c>
      <c r="R85" s="135">
        <f t="shared" si="16"/>
        <v>3.092167270668613E-2</v>
      </c>
    </row>
    <row r="86" spans="1:18" x14ac:dyDescent="0.25">
      <c r="A86" s="105">
        <v>3</v>
      </c>
      <c r="B86" s="135">
        <f t="shared" si="10"/>
        <v>1.1348253883353811E-2</v>
      </c>
      <c r="C86" s="135">
        <f t="shared" si="11"/>
        <v>3.4044761650061435E-2</v>
      </c>
      <c r="D86" s="135">
        <v>0.1</v>
      </c>
      <c r="E86" s="135">
        <f t="shared" si="12"/>
        <v>1.0090786626785194E-2</v>
      </c>
      <c r="F86" s="135">
        <f t="shared" si="13"/>
        <v>8.1506795847292556E-3</v>
      </c>
      <c r="G86" s="135">
        <f t="shared" si="14"/>
        <v>7.5284395021228577E-3</v>
      </c>
      <c r="H86" s="135">
        <f t="shared" si="15"/>
        <v>7.4059889801003781E-3</v>
      </c>
      <c r="I86" s="135">
        <f t="shared" si="16"/>
        <v>2.0614448471124092E-3</v>
      </c>
      <c r="J86" s="135">
        <f t="shared" si="16"/>
        <v>4.1228896942248185E-3</v>
      </c>
      <c r="K86" s="135">
        <f t="shared" si="16"/>
        <v>6.1843345413372256E-3</v>
      </c>
      <c r="L86" s="135">
        <f t="shared" si="16"/>
        <v>8.245779388449637E-3</v>
      </c>
      <c r="M86" s="135">
        <f t="shared" si="16"/>
        <v>1.0307224235562044E-2</v>
      </c>
      <c r="N86" s="135">
        <f t="shared" si="16"/>
        <v>1.2368669082674451E-2</v>
      </c>
      <c r="O86" s="135">
        <f t="shared" si="16"/>
        <v>1.443011392978686E-2</v>
      </c>
      <c r="P86" s="135">
        <f t="shared" si="16"/>
        <v>1.6491558776899274E-2</v>
      </c>
      <c r="Q86" s="135">
        <f t="shared" si="16"/>
        <v>1.8553003624011681E-2</v>
      </c>
      <c r="R86" s="135">
        <f t="shared" si="16"/>
        <v>2.0614448471124088E-2</v>
      </c>
    </row>
    <row r="87" spans="1:18" x14ac:dyDescent="0.25">
      <c r="A87" s="105">
        <v>4</v>
      </c>
      <c r="B87" s="135">
        <f t="shared" si="10"/>
        <v>8.5111904125153588E-3</v>
      </c>
      <c r="C87" s="135">
        <f t="shared" si="11"/>
        <v>2.5533571237546075E-2</v>
      </c>
      <c r="D87" s="135">
        <v>0.1</v>
      </c>
      <c r="E87" s="135">
        <f t="shared" si="12"/>
        <v>7.5680899700888947E-3</v>
      </c>
      <c r="F87" s="135">
        <f t="shared" si="13"/>
        <v>6.1130096885469408E-3</v>
      </c>
      <c r="G87" s="135">
        <f t="shared" si="14"/>
        <v>5.646329626592143E-3</v>
      </c>
      <c r="H87" s="135">
        <f t="shared" si="15"/>
        <v>5.5544917350752836E-3</v>
      </c>
      <c r="I87" s="135">
        <f t="shared" si="16"/>
        <v>1.5460836353343068E-3</v>
      </c>
      <c r="J87" s="135">
        <f t="shared" si="16"/>
        <v>3.0921672706686137E-3</v>
      </c>
      <c r="K87" s="135">
        <f t="shared" si="16"/>
        <v>4.6382509060029194E-3</v>
      </c>
      <c r="L87" s="135">
        <f t="shared" si="16"/>
        <v>6.1843345413372273E-3</v>
      </c>
      <c r="M87" s="135">
        <f t="shared" si="16"/>
        <v>7.7304181766715326E-3</v>
      </c>
      <c r="N87" s="135">
        <f t="shared" si="16"/>
        <v>9.2765018120058388E-3</v>
      </c>
      <c r="O87" s="135">
        <f t="shared" si="16"/>
        <v>1.0822585447340145E-2</v>
      </c>
      <c r="P87" s="135">
        <f t="shared" si="16"/>
        <v>1.2368669082674455E-2</v>
      </c>
      <c r="Q87" s="135">
        <f t="shared" si="16"/>
        <v>1.3914752718008761E-2</v>
      </c>
      <c r="R87" s="135">
        <f t="shared" si="16"/>
        <v>1.5460836353343065E-2</v>
      </c>
    </row>
    <row r="88" spans="1:18" x14ac:dyDescent="0.25">
      <c r="A88" s="105">
        <v>5</v>
      </c>
      <c r="B88" s="135">
        <f t="shared" si="10"/>
        <v>6.8089523300122867E-3</v>
      </c>
      <c r="C88" s="135">
        <f t="shared" si="11"/>
        <v>2.0426856990036858E-2</v>
      </c>
      <c r="D88" s="135">
        <v>0.1</v>
      </c>
      <c r="E88" s="135">
        <f t="shared" si="12"/>
        <v>6.0544719760711159E-3</v>
      </c>
      <c r="F88" s="135">
        <f t="shared" si="13"/>
        <v>4.890407750837553E-3</v>
      </c>
      <c r="G88" s="135">
        <f t="shared" si="14"/>
        <v>4.5170637012737144E-3</v>
      </c>
      <c r="H88" s="135">
        <f t="shared" si="15"/>
        <v>4.4435933880602272E-3</v>
      </c>
      <c r="I88" s="135">
        <f t="shared" si="16"/>
        <v>1.2368669082674455E-3</v>
      </c>
      <c r="J88" s="135">
        <f t="shared" si="16"/>
        <v>2.473733816534891E-3</v>
      </c>
      <c r="K88" s="135">
        <f t="shared" si="16"/>
        <v>3.7106007248023354E-3</v>
      </c>
      <c r="L88" s="135">
        <f t="shared" si="16"/>
        <v>4.947467633069782E-3</v>
      </c>
      <c r="M88" s="135">
        <f t="shared" si="16"/>
        <v>6.1843345413372264E-3</v>
      </c>
      <c r="N88" s="135">
        <f t="shared" si="16"/>
        <v>7.4212014496046709E-3</v>
      </c>
      <c r="O88" s="135">
        <f t="shared" si="16"/>
        <v>8.658068357872117E-3</v>
      </c>
      <c r="P88" s="135">
        <f t="shared" si="16"/>
        <v>9.894935266139564E-3</v>
      </c>
      <c r="Q88" s="135">
        <f t="shared" si="16"/>
        <v>1.1131802174407008E-2</v>
      </c>
      <c r="R88" s="135">
        <f t="shared" si="16"/>
        <v>1.2368669082674453E-2</v>
      </c>
    </row>
    <row r="89" spans="1:18" x14ac:dyDescent="0.25">
      <c r="A89" s="105">
        <v>6</v>
      </c>
      <c r="B89" s="135">
        <f t="shared" si="10"/>
        <v>5.6741269416769055E-3</v>
      </c>
      <c r="C89" s="135">
        <f t="shared" si="11"/>
        <v>1.7022380825030718E-2</v>
      </c>
      <c r="D89" s="135">
        <v>0.1</v>
      </c>
      <c r="E89" s="135">
        <f t="shared" si="12"/>
        <v>5.045393313392597E-3</v>
      </c>
      <c r="F89" s="135">
        <f t="shared" si="13"/>
        <v>4.0753397923646278E-3</v>
      </c>
      <c r="G89" s="135">
        <f t="shared" si="14"/>
        <v>3.7642197510614288E-3</v>
      </c>
      <c r="H89" s="135">
        <f t="shared" si="15"/>
        <v>3.702994490050189E-3</v>
      </c>
      <c r="I89" s="135">
        <f t="shared" si="16"/>
        <v>1.0307224235562046E-3</v>
      </c>
      <c r="J89" s="135">
        <f t="shared" si="16"/>
        <v>2.0614448471124092E-3</v>
      </c>
      <c r="K89" s="135">
        <f t="shared" si="16"/>
        <v>3.0921672706686128E-3</v>
      </c>
      <c r="L89" s="135">
        <f t="shared" si="16"/>
        <v>4.1228896942248185E-3</v>
      </c>
      <c r="M89" s="135">
        <f t="shared" si="16"/>
        <v>5.153612117781022E-3</v>
      </c>
      <c r="N89" s="135">
        <f t="shared" si="16"/>
        <v>6.1843345413372256E-3</v>
      </c>
      <c r="O89" s="135">
        <f t="shared" si="16"/>
        <v>7.21505696489343E-3</v>
      </c>
      <c r="P89" s="135">
        <f t="shared" si="16"/>
        <v>8.245779388449637E-3</v>
      </c>
      <c r="Q89" s="135">
        <f t="shared" si="16"/>
        <v>9.2765018120058405E-3</v>
      </c>
      <c r="R89" s="135">
        <f t="shared" si="16"/>
        <v>1.0307224235562044E-2</v>
      </c>
    </row>
    <row r="90" spans="1:18" x14ac:dyDescent="0.25">
      <c r="A90" s="105">
        <v>7</v>
      </c>
      <c r="B90" s="135">
        <f t="shared" si="10"/>
        <v>4.8635373785802048E-3</v>
      </c>
      <c r="C90" s="135">
        <f t="shared" si="11"/>
        <v>1.4590612135740614E-2</v>
      </c>
      <c r="D90" s="135">
        <v>0.1</v>
      </c>
      <c r="E90" s="135">
        <f t="shared" si="12"/>
        <v>4.3246228400507973E-3</v>
      </c>
      <c r="F90" s="135">
        <f t="shared" si="13"/>
        <v>3.4931483934553947E-3</v>
      </c>
      <c r="G90" s="135">
        <f t="shared" si="14"/>
        <v>3.2264740723383675E-3</v>
      </c>
      <c r="H90" s="135">
        <f t="shared" si="15"/>
        <v>3.1739952771858764E-3</v>
      </c>
      <c r="I90" s="135">
        <f t="shared" si="16"/>
        <v>8.834763630481753E-4</v>
      </c>
      <c r="J90" s="135">
        <f t="shared" si="16"/>
        <v>1.7669527260963506E-3</v>
      </c>
      <c r="K90" s="135">
        <f t="shared" si="16"/>
        <v>2.6504290891445252E-3</v>
      </c>
      <c r="L90" s="135">
        <f t="shared" si="16"/>
        <v>3.5339054521927012E-3</v>
      </c>
      <c r="M90" s="135">
        <f t="shared" si="16"/>
        <v>4.4173818152408763E-3</v>
      </c>
      <c r="N90" s="135">
        <f t="shared" si="16"/>
        <v>5.3008581782890505E-3</v>
      </c>
      <c r="O90" s="135">
        <f t="shared" si="16"/>
        <v>6.1843345413372256E-3</v>
      </c>
      <c r="P90" s="135">
        <f t="shared" si="16"/>
        <v>7.0678109043854024E-3</v>
      </c>
      <c r="Q90" s="135">
        <f t="shared" si="16"/>
        <v>7.9512872674335766E-3</v>
      </c>
      <c r="R90" s="135">
        <f t="shared" si="16"/>
        <v>8.8347636304817526E-3</v>
      </c>
    </row>
    <row r="91" spans="1:18" x14ac:dyDescent="0.25">
      <c r="A91" s="105">
        <v>8</v>
      </c>
      <c r="B91" s="135">
        <f t="shared" si="10"/>
        <v>4.2555952062576794E-3</v>
      </c>
      <c r="C91" s="135">
        <f t="shared" si="11"/>
        <v>1.2766785618773037E-2</v>
      </c>
      <c r="D91" s="135">
        <v>0.1</v>
      </c>
      <c r="E91" s="135">
        <f t="shared" si="12"/>
        <v>3.7840449850444473E-3</v>
      </c>
      <c r="F91" s="135">
        <f t="shared" si="13"/>
        <v>3.0565048442734704E-3</v>
      </c>
      <c r="G91" s="135">
        <f t="shared" si="14"/>
        <v>2.8231648132960715E-3</v>
      </c>
      <c r="H91" s="135">
        <f t="shared" si="15"/>
        <v>2.7772458675376418E-3</v>
      </c>
      <c r="I91" s="135">
        <f t="shared" si="16"/>
        <v>7.7304181766715341E-4</v>
      </c>
      <c r="J91" s="135">
        <f t="shared" si="16"/>
        <v>1.5460836353343068E-3</v>
      </c>
      <c r="K91" s="135">
        <f t="shared" si="16"/>
        <v>2.3191254530014597E-3</v>
      </c>
      <c r="L91" s="135">
        <f t="shared" si="16"/>
        <v>3.0921672706686137E-3</v>
      </c>
      <c r="M91" s="135">
        <f t="shared" si="16"/>
        <v>3.8652090883357663E-3</v>
      </c>
      <c r="N91" s="135">
        <f t="shared" si="16"/>
        <v>4.6382509060029194E-3</v>
      </c>
      <c r="O91" s="135">
        <f t="shared" si="16"/>
        <v>5.4112927236700725E-3</v>
      </c>
      <c r="P91" s="135">
        <f t="shared" si="16"/>
        <v>6.1843345413372273E-3</v>
      </c>
      <c r="Q91" s="135">
        <f t="shared" si="16"/>
        <v>6.9573763590043804E-3</v>
      </c>
      <c r="R91" s="135">
        <f t="shared" si="16"/>
        <v>7.7304181766715326E-3</v>
      </c>
    </row>
    <row r="92" spans="1:18" x14ac:dyDescent="0.25">
      <c r="A92" s="105">
        <v>9</v>
      </c>
      <c r="B92" s="135">
        <f t="shared" si="10"/>
        <v>3.7827512944512702E-3</v>
      </c>
      <c r="C92" s="135">
        <f t="shared" si="11"/>
        <v>1.1348253883353811E-2</v>
      </c>
      <c r="D92" s="135">
        <v>0.1</v>
      </c>
      <c r="E92" s="135">
        <f t="shared" si="12"/>
        <v>3.3635955422617312E-3</v>
      </c>
      <c r="F92" s="135">
        <f t="shared" si="13"/>
        <v>2.7168931949097517E-3</v>
      </c>
      <c r="G92" s="135">
        <f t="shared" si="14"/>
        <v>2.5094798340409524E-3</v>
      </c>
      <c r="H92" s="135">
        <f t="shared" si="15"/>
        <v>2.4686629933667928E-3</v>
      </c>
      <c r="I92" s="135">
        <f t="shared" si="16"/>
        <v>6.8714828237080301E-4</v>
      </c>
      <c r="J92" s="135">
        <f t="shared" si="16"/>
        <v>1.374296564741606E-3</v>
      </c>
      <c r="K92" s="135">
        <f t="shared" si="16"/>
        <v>2.0614448471124084E-3</v>
      </c>
      <c r="L92" s="135">
        <f t="shared" si="16"/>
        <v>2.748593129483212E-3</v>
      </c>
      <c r="M92" s="135">
        <f t="shared" si="16"/>
        <v>3.4357414118540144E-3</v>
      </c>
      <c r="N92" s="135">
        <f t="shared" si="16"/>
        <v>4.1228896942248168E-3</v>
      </c>
      <c r="O92" s="135">
        <f t="shared" si="16"/>
        <v>4.81003797659562E-3</v>
      </c>
      <c r="P92" s="135">
        <f t="shared" si="16"/>
        <v>5.4971862589664241E-3</v>
      </c>
      <c r="Q92" s="135">
        <f t="shared" si="16"/>
        <v>6.1843345413372264E-3</v>
      </c>
      <c r="R92" s="135">
        <f t="shared" si="16"/>
        <v>6.8714828237080288E-3</v>
      </c>
    </row>
    <row r="93" spans="1:18" x14ac:dyDescent="0.25">
      <c r="A93" s="114">
        <v>10</v>
      </c>
      <c r="B93" s="135">
        <f t="shared" si="10"/>
        <v>3.4044761650061433E-3</v>
      </c>
      <c r="C93" s="135">
        <f t="shared" si="11"/>
        <v>1.0213428495018429E-2</v>
      </c>
      <c r="D93" s="135">
        <v>0.1</v>
      </c>
      <c r="E93" s="135">
        <f t="shared" si="12"/>
        <v>3.027235988035558E-3</v>
      </c>
      <c r="F93" s="135">
        <f t="shared" si="13"/>
        <v>2.4452038754187765E-3</v>
      </c>
      <c r="G93" s="135">
        <f t="shared" si="14"/>
        <v>2.2585318506368572E-3</v>
      </c>
      <c r="H93" s="135">
        <f t="shared" si="15"/>
        <v>2.2217966940301136E-3</v>
      </c>
      <c r="I93" s="135">
        <f t="shared" si="16"/>
        <v>6.1843345413372275E-4</v>
      </c>
      <c r="J93" s="135">
        <f t="shared" si="16"/>
        <v>1.2368669082674455E-3</v>
      </c>
      <c r="K93" s="135">
        <f t="shared" si="16"/>
        <v>1.8553003624011677E-3</v>
      </c>
      <c r="L93" s="135">
        <f t="shared" si="16"/>
        <v>2.473733816534891E-3</v>
      </c>
      <c r="M93" s="135">
        <f t="shared" si="16"/>
        <v>3.0921672706686132E-3</v>
      </c>
      <c r="N93" s="135">
        <f t="shared" si="16"/>
        <v>3.7106007248023354E-3</v>
      </c>
      <c r="O93" s="135">
        <f t="shared" si="16"/>
        <v>4.3290341789360585E-3</v>
      </c>
      <c r="P93" s="135">
        <f t="shared" si="16"/>
        <v>4.947467633069782E-3</v>
      </c>
      <c r="Q93" s="135">
        <f t="shared" si="16"/>
        <v>5.5659010872035038E-3</v>
      </c>
      <c r="R93" s="135">
        <f t="shared" si="16"/>
        <v>6.1843345413372264E-3</v>
      </c>
    </row>
    <row r="94" spans="1:18" x14ac:dyDescent="0.25">
      <c r="A94" s="114">
        <v>11</v>
      </c>
      <c r="B94" s="135">
        <f t="shared" si="10"/>
        <v>3.0949783318237663E-3</v>
      </c>
      <c r="C94" s="135">
        <f t="shared" si="11"/>
        <v>9.284934995471299E-3</v>
      </c>
      <c r="D94" s="135">
        <v>0.1</v>
      </c>
      <c r="E94" s="135">
        <f t="shared" si="12"/>
        <v>2.7520327163959618E-3</v>
      </c>
      <c r="F94" s="135">
        <f t="shared" si="13"/>
        <v>2.2229126140170695E-3</v>
      </c>
      <c r="G94" s="135">
        <f t="shared" si="14"/>
        <v>2.0532107733062339E-3</v>
      </c>
      <c r="H94" s="135">
        <f t="shared" si="15"/>
        <v>2.0198151763910124E-3</v>
      </c>
      <c r="I94" s="135">
        <f t="shared" si="16"/>
        <v>5.6221223103065704E-4</v>
      </c>
      <c r="J94" s="135">
        <f t="shared" si="16"/>
        <v>1.1244244620613141E-3</v>
      </c>
      <c r="K94" s="135">
        <f t="shared" si="16"/>
        <v>1.6866366930919706E-3</v>
      </c>
      <c r="L94" s="135">
        <f t="shared" si="16"/>
        <v>2.2488489241226282E-3</v>
      </c>
      <c r="M94" s="135">
        <f t="shared" si="16"/>
        <v>2.8110611551532844E-3</v>
      </c>
      <c r="N94" s="135">
        <f t="shared" si="16"/>
        <v>3.3732733861839411E-3</v>
      </c>
      <c r="O94" s="135">
        <f t="shared" si="16"/>
        <v>3.9354856172145987E-3</v>
      </c>
      <c r="P94" s="135">
        <f t="shared" si="16"/>
        <v>4.4976978482452563E-3</v>
      </c>
      <c r="Q94" s="135">
        <f t="shared" si="16"/>
        <v>5.059910079275913E-3</v>
      </c>
      <c r="R94" s="135">
        <f t="shared" si="16"/>
        <v>5.6221223103065689E-3</v>
      </c>
    </row>
    <row r="95" spans="1:18" x14ac:dyDescent="0.25">
      <c r="A95" s="114">
        <v>12</v>
      </c>
      <c r="B95" s="135">
        <f t="shared" si="10"/>
        <v>2.8370634708384528E-3</v>
      </c>
      <c r="C95" s="135">
        <f t="shared" si="11"/>
        <v>8.5111904125153588E-3</v>
      </c>
      <c r="D95" s="135">
        <v>0.1</v>
      </c>
      <c r="E95" s="135">
        <f t="shared" si="12"/>
        <v>2.5226966566962985E-3</v>
      </c>
      <c r="F95" s="135">
        <f t="shared" si="13"/>
        <v>2.0376698961823139E-3</v>
      </c>
      <c r="G95" s="135">
        <f t="shared" si="14"/>
        <v>1.8821098755307144E-3</v>
      </c>
      <c r="H95" s="135">
        <f t="shared" si="15"/>
        <v>1.8514972450250945E-3</v>
      </c>
      <c r="I95" s="135">
        <f t="shared" si="16"/>
        <v>5.1536121177810231E-4</v>
      </c>
      <c r="J95" s="135">
        <f t="shared" si="16"/>
        <v>1.0307224235562046E-3</v>
      </c>
      <c r="K95" s="135">
        <f t="shared" si="16"/>
        <v>1.5460836353343064E-3</v>
      </c>
      <c r="L95" s="135">
        <f t="shared" si="16"/>
        <v>2.0614448471124092E-3</v>
      </c>
      <c r="M95" s="135">
        <f t="shared" si="16"/>
        <v>2.576806058890511E-3</v>
      </c>
      <c r="N95" s="135">
        <f t="shared" si="16"/>
        <v>3.0921672706686128E-3</v>
      </c>
      <c r="O95" s="135">
        <f t="shared" si="16"/>
        <v>3.607528482446715E-3</v>
      </c>
      <c r="P95" s="135">
        <f t="shared" si="16"/>
        <v>4.1228896942248185E-3</v>
      </c>
      <c r="Q95" s="135">
        <f t="shared" si="16"/>
        <v>4.6382509060029203E-3</v>
      </c>
      <c r="R95" s="135">
        <f t="shared" si="16"/>
        <v>5.153612117781022E-3</v>
      </c>
    </row>
    <row r="96" spans="1:18" x14ac:dyDescent="0.25">
      <c r="A96" s="114"/>
      <c r="B96" s="135"/>
      <c r="C96" s="135"/>
      <c r="D96" s="135"/>
      <c r="E96" s="135"/>
      <c r="F96" s="135"/>
      <c r="G96" s="135"/>
    </row>
    <row r="97" spans="1:9" x14ac:dyDescent="0.25">
      <c r="A97" s="6" t="s">
        <v>104</v>
      </c>
    </row>
    <row r="98" spans="1:9" x14ac:dyDescent="0.25">
      <c r="A98" s="117" t="s">
        <v>1</v>
      </c>
      <c r="B98" s="117" t="s">
        <v>88</v>
      </c>
      <c r="C98" s="117" t="s">
        <v>89</v>
      </c>
      <c r="D98" s="117" t="s">
        <v>90</v>
      </c>
      <c r="E98" s="136" t="s">
        <v>93</v>
      </c>
      <c r="F98" s="136" t="s">
        <v>92</v>
      </c>
      <c r="G98" s="136" t="s">
        <v>94</v>
      </c>
      <c r="I98" s="4"/>
    </row>
    <row r="99" spans="1:9" x14ac:dyDescent="0.25">
      <c r="A99" s="150">
        <v>0</v>
      </c>
      <c r="B99" s="150">
        <v>0</v>
      </c>
      <c r="C99" s="150">
        <v>0</v>
      </c>
      <c r="D99" s="150">
        <v>0</v>
      </c>
      <c r="E99" s="150">
        <v>0</v>
      </c>
      <c r="F99" s="150">
        <v>0</v>
      </c>
      <c r="G99" s="150">
        <v>0</v>
      </c>
    </row>
    <row r="100" spans="1:9" x14ac:dyDescent="0.25">
      <c r="A100" s="118">
        <v>1</v>
      </c>
      <c r="B100" s="118">
        <f t="shared" ref="B100:B111" si="17">($C$31*A100-$K$36/$B$36)/$M$31</f>
        <v>2102.5801588859058</v>
      </c>
      <c r="C100" s="118">
        <f t="shared" ref="C100:C111" si="18">($C$31*A100-$K$36/$B$36*3)/($M$31+$N$31+$O$31)</f>
        <v>663.10052632643215</v>
      </c>
      <c r="D100" s="118">
        <f t="shared" ref="D100:D111" si="19">($C$31*A100-$K$36/$B$36*5)/($M$31+$N$31+$O$31+$P$31+$Q$31)</f>
        <v>373.37919793323505</v>
      </c>
      <c r="E100" s="102">
        <f t="shared" ref="E100:E111" si="20">((A100*$C$31)-($E$31*0.45*$H$36))/($R$32*0.45)</f>
        <v>579.52368264447591</v>
      </c>
      <c r="F100" s="102">
        <f t="shared" ref="F100:F111" si="21">((A100*$C$31)-($E$31*0.75*$H$36))/($R$32*0.75)</f>
        <v>311.53585251986277</v>
      </c>
      <c r="G100" s="102">
        <f t="shared" ref="G100:G111" si="22">((A100*$C$31)-($E$31*0.65*$H$36))/($R$32*0.65)</f>
        <v>373.37919793323505</v>
      </c>
    </row>
    <row r="101" spans="1:9" x14ac:dyDescent="0.25">
      <c r="A101" s="118">
        <v>2</v>
      </c>
      <c r="B101" s="118">
        <f t="shared" si="17"/>
        <v>4290.4887529399184</v>
      </c>
      <c r="C101" s="118">
        <f t="shared" si="18"/>
        <v>1414.0637497991752</v>
      </c>
      <c r="D101" s="118">
        <f t="shared" si="19"/>
        <v>837.20428853352701</v>
      </c>
      <c r="E101" s="102">
        <f t="shared" si="20"/>
        <v>1249.4932579560088</v>
      </c>
      <c r="F101" s="102">
        <f t="shared" si="21"/>
        <v>713.51759770678245</v>
      </c>
      <c r="G101" s="102">
        <f t="shared" si="22"/>
        <v>837.20428853352701</v>
      </c>
      <c r="I101" s="114"/>
    </row>
    <row r="102" spans="1:9" x14ac:dyDescent="0.25">
      <c r="A102" s="118">
        <v>3</v>
      </c>
      <c r="B102" s="118">
        <f>($C$31*A102-$K$36/$B$36)/$M$31</f>
        <v>6478.397346993931</v>
      </c>
      <c r="C102" s="118">
        <f t="shared" si="18"/>
        <v>2165.0269732719185</v>
      </c>
      <c r="D102" s="118">
        <f t="shared" si="19"/>
        <v>1301.029379133819</v>
      </c>
      <c r="E102" s="102">
        <f t="shared" si="20"/>
        <v>1919.4628332675416</v>
      </c>
      <c r="F102" s="102">
        <f t="shared" si="21"/>
        <v>1115.4993428937023</v>
      </c>
      <c r="G102" s="102">
        <f t="shared" si="22"/>
        <v>1301.029379133819</v>
      </c>
      <c r="I102" s="115"/>
    </row>
    <row r="103" spans="1:9" x14ac:dyDescent="0.25">
      <c r="A103" s="118">
        <v>4</v>
      </c>
      <c r="B103" s="118">
        <f t="shared" si="17"/>
        <v>8666.3059410479436</v>
      </c>
      <c r="C103" s="118">
        <f t="shared" si="18"/>
        <v>2915.9901967446613</v>
      </c>
      <c r="D103" s="118">
        <f t="shared" si="19"/>
        <v>1764.854469734111</v>
      </c>
      <c r="E103" s="102">
        <f t="shared" si="20"/>
        <v>2589.4324085790745</v>
      </c>
      <c r="F103" s="102">
        <f t="shared" si="21"/>
        <v>1517.4810880806219</v>
      </c>
      <c r="G103" s="102">
        <f t="shared" si="22"/>
        <v>1764.854469734111</v>
      </c>
      <c r="I103" s="115"/>
    </row>
    <row r="104" spans="1:9" x14ac:dyDescent="0.25">
      <c r="A104" s="118">
        <v>5</v>
      </c>
      <c r="B104" s="118">
        <f t="shared" si="17"/>
        <v>10854.214535101955</v>
      </c>
      <c r="C104" s="118">
        <f t="shared" si="18"/>
        <v>3666.9534202174045</v>
      </c>
      <c r="D104" s="118">
        <f t="shared" si="19"/>
        <v>2228.679560334403</v>
      </c>
      <c r="E104" s="102">
        <f t="shared" si="20"/>
        <v>3259.4019838906074</v>
      </c>
      <c r="F104" s="102">
        <f t="shared" si="21"/>
        <v>1919.4628332675416</v>
      </c>
      <c r="G104" s="102">
        <f t="shared" si="22"/>
        <v>2228.679560334403</v>
      </c>
      <c r="I104" s="115"/>
    </row>
    <row r="105" spans="1:9" x14ac:dyDescent="0.25">
      <c r="A105" s="118">
        <v>6</v>
      </c>
      <c r="B105" s="118">
        <f t="shared" si="17"/>
        <v>13042.123129155969</v>
      </c>
      <c r="C105" s="118">
        <f t="shared" si="18"/>
        <v>4417.9166436901478</v>
      </c>
      <c r="D105" s="118">
        <f t="shared" si="19"/>
        <v>2692.5046509346948</v>
      </c>
      <c r="E105" s="102">
        <f t="shared" si="20"/>
        <v>3929.3715592021404</v>
      </c>
      <c r="F105" s="102">
        <f t="shared" si="21"/>
        <v>2321.4445784544614</v>
      </c>
      <c r="G105" s="102">
        <f t="shared" si="22"/>
        <v>2692.5046509346948</v>
      </c>
      <c r="I105" s="115"/>
    </row>
    <row r="106" spans="1:9" x14ac:dyDescent="0.25">
      <c r="A106" s="118">
        <v>7</v>
      </c>
      <c r="B106" s="118">
        <f t="shared" si="17"/>
        <v>15230.031723209981</v>
      </c>
      <c r="C106" s="118">
        <f t="shared" si="18"/>
        <v>5168.8798671628911</v>
      </c>
      <c r="D106" s="118">
        <f t="shared" si="19"/>
        <v>3156.3297415349871</v>
      </c>
      <c r="E106" s="102">
        <f t="shared" si="20"/>
        <v>4599.3411345136728</v>
      </c>
      <c r="F106" s="102">
        <f t="shared" si="21"/>
        <v>2723.4263236413813</v>
      </c>
      <c r="G106" s="102">
        <f t="shared" si="22"/>
        <v>3156.3297415349871</v>
      </c>
      <c r="I106" s="115"/>
    </row>
    <row r="107" spans="1:9" x14ac:dyDescent="0.25">
      <c r="A107" s="118">
        <v>8</v>
      </c>
      <c r="B107" s="118">
        <f t="shared" si="17"/>
        <v>17417.940317263994</v>
      </c>
      <c r="C107" s="118">
        <f t="shared" si="18"/>
        <v>5919.8430906356343</v>
      </c>
      <c r="D107" s="118">
        <f t="shared" si="19"/>
        <v>3620.1548321352789</v>
      </c>
      <c r="E107" s="102">
        <f t="shared" si="20"/>
        <v>5269.3107098252058</v>
      </c>
      <c r="F107" s="102">
        <f t="shared" si="21"/>
        <v>3125.4080688283007</v>
      </c>
      <c r="G107" s="102">
        <f t="shared" si="22"/>
        <v>3620.1548321352789</v>
      </c>
      <c r="I107" s="115"/>
    </row>
    <row r="108" spans="1:9" x14ac:dyDescent="0.25">
      <c r="A108" s="118">
        <v>9</v>
      </c>
      <c r="B108" s="118">
        <f t="shared" si="17"/>
        <v>19605.848911318008</v>
      </c>
      <c r="C108" s="118">
        <f t="shared" si="18"/>
        <v>6670.8063141083767</v>
      </c>
      <c r="D108" s="118">
        <f t="shared" si="19"/>
        <v>4083.9799227355711</v>
      </c>
      <c r="E108" s="102">
        <f t="shared" si="20"/>
        <v>5939.2802851367387</v>
      </c>
      <c r="F108" s="102">
        <f t="shared" si="21"/>
        <v>3527.3898140152205</v>
      </c>
      <c r="G108" s="102">
        <f t="shared" si="22"/>
        <v>4083.9799227355711</v>
      </c>
      <c r="I108" s="115"/>
    </row>
    <row r="109" spans="1:9" x14ac:dyDescent="0.25">
      <c r="A109" s="118">
        <v>10</v>
      </c>
      <c r="B109" s="118">
        <f t="shared" si="17"/>
        <v>21793.757505372017</v>
      </c>
      <c r="C109" s="118">
        <f t="shared" si="18"/>
        <v>7421.7695375811199</v>
      </c>
      <c r="D109" s="118">
        <f t="shared" si="19"/>
        <v>4547.8050133358629</v>
      </c>
      <c r="E109" s="102">
        <f t="shared" si="20"/>
        <v>6609.2498604482716</v>
      </c>
      <c r="F109" s="102">
        <f t="shared" si="21"/>
        <v>3929.3715592021404</v>
      </c>
      <c r="G109" s="102">
        <f t="shared" si="22"/>
        <v>4547.8050133358629</v>
      </c>
      <c r="I109" s="115"/>
    </row>
    <row r="110" spans="1:9" x14ac:dyDescent="0.25">
      <c r="A110" s="118">
        <v>15</v>
      </c>
      <c r="B110" s="118">
        <f t="shared" si="17"/>
        <v>32733.300475642081</v>
      </c>
      <c r="C110" s="118">
        <f t="shared" si="18"/>
        <v>11176.585654944836</v>
      </c>
      <c r="D110" s="118">
        <f t="shared" si="19"/>
        <v>6866.9304663373232</v>
      </c>
      <c r="E110" s="102">
        <f t="shared" si="20"/>
        <v>9959.0977370059354</v>
      </c>
      <c r="F110" s="102">
        <f t="shared" si="21"/>
        <v>5939.2802851367387</v>
      </c>
      <c r="G110" s="102">
        <f t="shared" si="22"/>
        <v>6866.9304663373232</v>
      </c>
      <c r="I110" s="115"/>
    </row>
    <row r="111" spans="1:9" x14ac:dyDescent="0.25">
      <c r="A111" s="118">
        <v>20</v>
      </c>
      <c r="B111" s="118">
        <f t="shared" si="17"/>
        <v>43672.843445912142</v>
      </c>
      <c r="C111" s="118">
        <f t="shared" si="18"/>
        <v>14931.401772308551</v>
      </c>
      <c r="D111" s="118">
        <f t="shared" si="19"/>
        <v>9186.0559193387835</v>
      </c>
      <c r="E111" s="102">
        <f t="shared" si="20"/>
        <v>13308.945613563599</v>
      </c>
      <c r="F111" s="102">
        <f t="shared" si="21"/>
        <v>7949.1890110713375</v>
      </c>
      <c r="G111" s="102">
        <f t="shared" si="22"/>
        <v>9186.0559193387835</v>
      </c>
      <c r="I111" s="115"/>
    </row>
    <row r="112" spans="1:9" x14ac:dyDescent="0.25">
      <c r="I112" s="115"/>
    </row>
    <row r="113" spans="9:9" x14ac:dyDescent="0.25">
      <c r="I113" s="115"/>
    </row>
  </sheetData>
  <mergeCells count="1">
    <mergeCell ref="A39:D39"/>
  </mergeCells>
  <pageMargins left="0.75" right="0.75" top="1" bottom="1" header="0.5" footer="0.5"/>
  <pageSetup orientation="portrait" horizontalDpi="4294967292" verticalDpi="4294967292"/>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T50"/>
  <sheetViews>
    <sheetView topLeftCell="A5" workbookViewId="0">
      <selection activeCell="I4" sqref="I4"/>
    </sheetView>
  </sheetViews>
  <sheetFormatPr defaultColWidth="11" defaultRowHeight="15.75" x14ac:dyDescent="0.25"/>
  <cols>
    <col min="6" max="6" width="10.75" style="213"/>
    <col min="9" max="9" width="16.25" bestFit="1" customWidth="1"/>
    <col min="10" max="10" width="15.25" bestFit="1" customWidth="1"/>
    <col min="11" max="11" width="16.25" bestFit="1" customWidth="1"/>
    <col min="12" max="13" width="17.75" bestFit="1" customWidth="1"/>
    <col min="16" max="16" width="11.5" bestFit="1" customWidth="1"/>
    <col min="19" max="19" width="14.25" style="188" bestFit="1" customWidth="1"/>
    <col min="20" max="20" width="10.75" style="188"/>
  </cols>
  <sheetData>
    <row r="1" spans="1:20" ht="18.75" x14ac:dyDescent="0.3">
      <c r="A1" s="216" t="s">
        <v>218</v>
      </c>
    </row>
    <row r="2" spans="1:20" ht="39" x14ac:dyDescent="0.25">
      <c r="A2" s="182" t="s">
        <v>137</v>
      </c>
      <c r="B2" s="182" t="s">
        <v>138</v>
      </c>
      <c r="C2" s="182" t="s">
        <v>9</v>
      </c>
      <c r="D2" s="182" t="s">
        <v>139</v>
      </c>
      <c r="E2" s="183" t="s">
        <v>140</v>
      </c>
      <c r="F2" s="211" t="s">
        <v>141</v>
      </c>
      <c r="G2" s="184" t="s">
        <v>142</v>
      </c>
      <c r="H2" s="182" t="s">
        <v>143</v>
      </c>
      <c r="I2" s="185" t="s">
        <v>144</v>
      </c>
      <c r="J2" s="185" t="s">
        <v>145</v>
      </c>
      <c r="K2" s="185" t="s">
        <v>146</v>
      </c>
      <c r="L2" s="185" t="s">
        <v>147</v>
      </c>
      <c r="M2" s="185" t="s">
        <v>148</v>
      </c>
      <c r="N2" s="182" t="s">
        <v>149</v>
      </c>
      <c r="O2" s="186" t="s">
        <v>150</v>
      </c>
      <c r="P2" s="199" t="s">
        <v>206</v>
      </c>
      <c r="Q2" s="199" t="s">
        <v>207</v>
      </c>
      <c r="R2" s="199" t="s">
        <v>4</v>
      </c>
      <c r="S2" s="214" t="s">
        <v>208</v>
      </c>
      <c r="T2" s="214" t="s">
        <v>209</v>
      </c>
    </row>
    <row r="3" spans="1:20" x14ac:dyDescent="0.25">
      <c r="A3" s="193" t="s">
        <v>205</v>
      </c>
      <c r="B3" s="193"/>
      <c r="C3" s="193"/>
      <c r="D3" s="193"/>
      <c r="E3" s="194"/>
      <c r="F3" s="212">
        <v>1.4999999999999999E-2</v>
      </c>
      <c r="G3" s="195"/>
      <c r="H3" s="200">
        <v>40</v>
      </c>
      <c r="I3" s="196"/>
      <c r="J3" s="196"/>
      <c r="K3" s="196"/>
      <c r="L3" s="196"/>
      <c r="M3" s="196"/>
      <c r="N3" s="193"/>
      <c r="O3" s="197"/>
      <c r="P3" s="191">
        <v>1000</v>
      </c>
      <c r="R3" s="188">
        <v>1</v>
      </c>
      <c r="S3" s="188">
        <v>175</v>
      </c>
      <c r="T3" s="215">
        <v>100</v>
      </c>
    </row>
    <row r="4" spans="1:20" x14ac:dyDescent="0.25">
      <c r="A4" t="s">
        <v>151</v>
      </c>
      <c r="B4" t="s">
        <v>152</v>
      </c>
      <c r="C4">
        <v>61.6</v>
      </c>
      <c r="D4">
        <v>50</v>
      </c>
      <c r="E4" s="187">
        <v>20005.650390625</v>
      </c>
      <c r="F4" s="213">
        <v>3.7619046866893768E-2</v>
      </c>
      <c r="G4" s="189">
        <f>E4*F4</f>
        <v>752.5934996476135</v>
      </c>
      <c r="H4" s="190">
        <v>41.386730194091797</v>
      </c>
      <c r="I4" s="191">
        <v>2888341.75</v>
      </c>
      <c r="J4" s="191">
        <v>377010.15625</v>
      </c>
      <c r="K4" s="191">
        <v>3148920.5</v>
      </c>
      <c r="L4" s="191">
        <v>99239368</v>
      </c>
      <c r="M4" s="191">
        <v>105653640</v>
      </c>
      <c r="N4" s="191">
        <f>SUM(I4:K4)/E4</f>
        <v>320.62303804208437</v>
      </c>
      <c r="O4" s="192">
        <f t="shared" ref="O4:O50" si="0">M4/E4</f>
        <v>5281.1899606878642</v>
      </c>
      <c r="P4" s="191">
        <v>5632.1949999999997</v>
      </c>
      <c r="Q4">
        <v>19.053000000000001</v>
      </c>
      <c r="R4" s="198">
        <f>E4/Q4/1000000*1000</f>
        <v>1.0500000205020206</v>
      </c>
      <c r="S4" s="188">
        <f>SUM(I4:K4)/E4</f>
        <v>320.62303804208437</v>
      </c>
      <c r="T4" s="215">
        <f>SUM(I4:J4)/E4</f>
        <v>163.22148205589963</v>
      </c>
    </row>
    <row r="5" spans="1:20" x14ac:dyDescent="0.25">
      <c r="A5" t="s">
        <v>153</v>
      </c>
      <c r="B5" t="s">
        <v>154</v>
      </c>
      <c r="C5">
        <v>69.400000000000006</v>
      </c>
      <c r="D5">
        <v>100</v>
      </c>
      <c r="E5" s="187">
        <v>345393.3125</v>
      </c>
      <c r="F5" s="213">
        <v>1.5238095074892044E-2</v>
      </c>
      <c r="G5" s="189">
        <f>E5*F5</f>
        <v>5263.1361341068987</v>
      </c>
      <c r="H5" s="190">
        <v>44.772808074951172</v>
      </c>
      <c r="I5" s="191">
        <v>11268321</v>
      </c>
      <c r="J5" s="191">
        <v>2331193</v>
      </c>
      <c r="K5" s="191">
        <v>15730696</v>
      </c>
      <c r="L5" s="191">
        <v>200715248</v>
      </c>
      <c r="M5" s="191">
        <v>230045456</v>
      </c>
      <c r="N5" s="191">
        <f t="shared" ref="N5:N50" si="1">SUM(I5:K5)/E5</f>
        <v>84.918291520192653</v>
      </c>
      <c r="O5" s="192">
        <f t="shared" si="0"/>
        <v>666.03911446606253</v>
      </c>
      <c r="P5" s="191">
        <v>1572.3440000000001</v>
      </c>
      <c r="Q5">
        <v>164.47300000000001</v>
      </c>
      <c r="R5" s="198">
        <f t="shared" ref="R5:R50" si="2">E5/Q5/1000000*1000</f>
        <v>2.1000000760003159</v>
      </c>
      <c r="S5" s="188">
        <f t="shared" ref="S5:S50" si="3">SUM(I5:K5)/E5</f>
        <v>84.918291520192653</v>
      </c>
      <c r="T5" s="215">
        <f t="shared" ref="T5:T50" si="4">SUM(I5:J5)/E5</f>
        <v>39.373993380372703</v>
      </c>
    </row>
    <row r="6" spans="1:20" x14ac:dyDescent="0.25">
      <c r="A6" t="s">
        <v>155</v>
      </c>
      <c r="B6" t="s">
        <v>152</v>
      </c>
      <c r="C6">
        <v>66.7</v>
      </c>
      <c r="D6">
        <v>70</v>
      </c>
      <c r="E6" s="187">
        <v>13501.599609375</v>
      </c>
      <c r="F6" s="213">
        <v>3.7999998778104782E-2</v>
      </c>
      <c r="G6" s="189">
        <f t="shared" ref="G6:G50" si="5">E6*F6</f>
        <v>513.06076865871</v>
      </c>
      <c r="H6" s="190">
        <v>46.088890075683594</v>
      </c>
      <c r="I6" s="191">
        <v>481448.53125</v>
      </c>
      <c r="J6" s="191">
        <v>96017.546875</v>
      </c>
      <c r="K6" s="191">
        <v>547155.4375</v>
      </c>
      <c r="L6" s="191">
        <v>18443958</v>
      </c>
      <c r="M6" s="191">
        <v>19568580</v>
      </c>
      <c r="N6" s="191">
        <f t="shared" si="1"/>
        <v>83.295427813168544</v>
      </c>
      <c r="O6" s="192">
        <f t="shared" si="0"/>
        <v>1449.3527112455859</v>
      </c>
      <c r="P6" s="191">
        <v>1450.9880000000001</v>
      </c>
      <c r="Q6">
        <v>9.6440000000000001</v>
      </c>
      <c r="R6" s="198">
        <f t="shared" si="2"/>
        <v>1.3999999594955412</v>
      </c>
      <c r="S6" s="188">
        <f t="shared" si="3"/>
        <v>83.295427813168544</v>
      </c>
      <c r="T6" s="215">
        <f t="shared" si="4"/>
        <v>42.770197223448207</v>
      </c>
    </row>
    <row r="7" spans="1:20" x14ac:dyDescent="0.25">
      <c r="A7" t="s">
        <v>156</v>
      </c>
      <c r="B7" t="s">
        <v>154</v>
      </c>
      <c r="C7">
        <v>69.599999999999994</v>
      </c>
      <c r="D7">
        <v>48</v>
      </c>
      <c r="E7" s="187">
        <v>582.6240234375</v>
      </c>
      <c r="F7" s="213">
        <v>2.9999997466802597E-2</v>
      </c>
      <c r="G7" s="189">
        <f t="shared" si="5"/>
        <v>17.478719227223337</v>
      </c>
      <c r="H7" s="190">
        <v>46.581130981445313</v>
      </c>
      <c r="I7" s="191">
        <v>84707.90625</v>
      </c>
      <c r="J7" s="191">
        <v>11571.37890625</v>
      </c>
      <c r="K7" s="191">
        <v>89507.40625</v>
      </c>
      <c r="L7" s="191">
        <v>2351322.75</v>
      </c>
      <c r="M7" s="191">
        <v>2537109.5</v>
      </c>
      <c r="N7" s="191">
        <f t="shared" si="1"/>
        <v>318.87921529583127</v>
      </c>
      <c r="O7" s="192">
        <f t="shared" si="0"/>
        <v>4354.6256212213402</v>
      </c>
      <c r="P7" s="191">
        <v>5429.7659999999996</v>
      </c>
      <c r="Q7">
        <v>0.71399999999999997</v>
      </c>
      <c r="R7" s="198">
        <f t="shared" si="2"/>
        <v>0.81600003282563038</v>
      </c>
      <c r="S7" s="188">
        <f t="shared" si="3"/>
        <v>318.87921529583127</v>
      </c>
      <c r="T7" s="215">
        <f t="shared" si="4"/>
        <v>165.25114187396395</v>
      </c>
    </row>
    <row r="8" spans="1:20" x14ac:dyDescent="0.25">
      <c r="A8" t="s">
        <v>157</v>
      </c>
      <c r="B8" t="s">
        <v>158</v>
      </c>
      <c r="C8">
        <v>62.3</v>
      </c>
      <c r="D8">
        <v>59</v>
      </c>
      <c r="E8" s="187">
        <v>20007.548828125</v>
      </c>
      <c r="F8" s="213">
        <v>3.8048781454563141E-2</v>
      </c>
      <c r="G8" s="189">
        <f t="shared" si="5"/>
        <v>761.262852802829</v>
      </c>
      <c r="H8" s="190">
        <v>41.852668762207031</v>
      </c>
      <c r="I8" s="191">
        <v>131121.015625</v>
      </c>
      <c r="J8" s="191">
        <v>40881.21484375</v>
      </c>
      <c r="K8" s="191">
        <v>229532.984375</v>
      </c>
      <c r="L8" s="191">
        <v>7321577.5</v>
      </c>
      <c r="M8" s="191">
        <v>7723112.5</v>
      </c>
      <c r="N8" s="191">
        <f t="shared" si="1"/>
        <v>20.069185800476674</v>
      </c>
      <c r="O8" s="192">
        <f t="shared" si="0"/>
        <v>386.00992886962098</v>
      </c>
      <c r="P8" s="191">
        <v>410.79399999999998</v>
      </c>
      <c r="Q8">
        <v>8.2710000000000008</v>
      </c>
      <c r="R8" s="198">
        <f t="shared" si="2"/>
        <v>2.4189999792195622</v>
      </c>
      <c r="S8" s="188">
        <f t="shared" si="3"/>
        <v>20.069185800476674</v>
      </c>
      <c r="T8" s="215">
        <f t="shared" si="4"/>
        <v>8.5968667099771423</v>
      </c>
    </row>
    <row r="9" spans="1:20" x14ac:dyDescent="0.25">
      <c r="A9" t="s">
        <v>159</v>
      </c>
      <c r="B9" t="s">
        <v>152</v>
      </c>
      <c r="C9">
        <v>62.7</v>
      </c>
      <c r="D9">
        <v>49</v>
      </c>
      <c r="E9" s="187">
        <v>19014.744140625</v>
      </c>
      <c r="F9" s="213">
        <v>3.7894736975431442E-2</v>
      </c>
      <c r="G9" s="189">
        <f t="shared" si="5"/>
        <v>720.55872786411055</v>
      </c>
      <c r="H9" s="190">
        <v>41.373649597167969</v>
      </c>
      <c r="I9" s="191">
        <v>1092954.75</v>
      </c>
      <c r="J9" s="191">
        <v>192096.375</v>
      </c>
      <c r="K9" s="191">
        <v>1152822</v>
      </c>
      <c r="L9" s="191">
        <v>36614316</v>
      </c>
      <c r="M9" s="191">
        <v>39052188</v>
      </c>
      <c r="N9" s="191">
        <f t="shared" si="1"/>
        <v>128.20962022788854</v>
      </c>
      <c r="O9" s="192">
        <f t="shared" si="0"/>
        <v>2053.7845637672822</v>
      </c>
      <c r="P9" s="191">
        <v>2170.3789999999999</v>
      </c>
      <c r="Q9">
        <v>20.423999999999999</v>
      </c>
      <c r="R9" s="198">
        <f t="shared" si="2"/>
        <v>0.93100000688528206</v>
      </c>
      <c r="S9" s="188">
        <f t="shared" si="3"/>
        <v>128.20962022788854</v>
      </c>
      <c r="T9" s="215">
        <f t="shared" si="4"/>
        <v>67.581825739873523</v>
      </c>
    </row>
    <row r="10" spans="1:20" x14ac:dyDescent="0.25">
      <c r="A10" t="s">
        <v>160</v>
      </c>
      <c r="B10" t="s">
        <v>152</v>
      </c>
      <c r="C10">
        <v>60.6</v>
      </c>
      <c r="D10">
        <v>91</v>
      </c>
      <c r="E10" s="187">
        <v>19536.15234375</v>
      </c>
      <c r="F10" s="213">
        <v>3.8095239549875259E-2</v>
      </c>
      <c r="G10" s="189">
        <f t="shared" si="5"/>
        <v>744.23440341801324</v>
      </c>
      <c r="H10" s="190">
        <v>40.445724487304688</v>
      </c>
      <c r="I10" s="191">
        <v>702057</v>
      </c>
      <c r="J10" s="191">
        <v>145192.859375</v>
      </c>
      <c r="K10" s="191">
        <v>926379.875</v>
      </c>
      <c r="L10" s="191">
        <v>29211594</v>
      </c>
      <c r="M10" s="191">
        <v>30985224</v>
      </c>
      <c r="N10" s="191">
        <f t="shared" si="1"/>
        <v>90.787054849232845</v>
      </c>
      <c r="O10" s="192">
        <f t="shared" si="0"/>
        <v>1586.0453714117757</v>
      </c>
      <c r="P10" s="191">
        <v>1698.0709999999999</v>
      </c>
      <c r="Q10">
        <v>10.223000000000001</v>
      </c>
      <c r="R10" s="198">
        <f t="shared" si="2"/>
        <v>1.9109999358065146</v>
      </c>
      <c r="S10" s="188">
        <f t="shared" si="3"/>
        <v>90.787054849232845</v>
      </c>
      <c r="T10" s="215">
        <f t="shared" si="4"/>
        <v>43.368307354853933</v>
      </c>
    </row>
    <row r="11" spans="1:20" x14ac:dyDescent="0.25">
      <c r="A11" t="s">
        <v>161</v>
      </c>
      <c r="B11" t="s">
        <v>162</v>
      </c>
      <c r="C11">
        <v>75.900000000000006</v>
      </c>
      <c r="D11">
        <v>6</v>
      </c>
      <c r="E11" s="187">
        <v>46949.4921875</v>
      </c>
      <c r="F11" s="213">
        <v>9.9999997764825821E-3</v>
      </c>
      <c r="G11" s="189">
        <f t="shared" si="5"/>
        <v>469.49491138097073</v>
      </c>
      <c r="H11" s="190">
        <v>48.586566925048828</v>
      </c>
      <c r="I11" s="191">
        <v>7535764.5</v>
      </c>
      <c r="J11" s="191">
        <v>1291793.25</v>
      </c>
      <c r="K11" s="191">
        <v>8680022</v>
      </c>
      <c r="L11" s="191">
        <v>89191448</v>
      </c>
      <c r="M11" s="191">
        <v>106699024</v>
      </c>
      <c r="N11" s="191">
        <f t="shared" si="1"/>
        <v>372.90243055411111</v>
      </c>
      <c r="O11" s="192">
        <f t="shared" si="0"/>
        <v>2272.634250736538</v>
      </c>
      <c r="P11" s="191">
        <v>7518.7160000000003</v>
      </c>
      <c r="Q11">
        <v>1341.414</v>
      </c>
      <c r="R11" s="198">
        <f t="shared" si="2"/>
        <v>3.5000001630741892E-2</v>
      </c>
      <c r="S11" s="188">
        <f t="shared" si="3"/>
        <v>372.90243055411111</v>
      </c>
      <c r="T11" s="215">
        <f t="shared" si="4"/>
        <v>188.02243301686403</v>
      </c>
    </row>
    <row r="12" spans="1:20" x14ac:dyDescent="0.25">
      <c r="A12" t="s">
        <v>163</v>
      </c>
      <c r="B12" t="s">
        <v>152</v>
      </c>
      <c r="C12">
        <v>68.400000000000006</v>
      </c>
      <c r="D12">
        <v>65</v>
      </c>
      <c r="E12" s="187">
        <v>822.510009765625</v>
      </c>
      <c r="F12" s="213">
        <v>3.8421053439378738E-2</v>
      </c>
      <c r="G12" s="189">
        <f t="shared" si="5"/>
        <v>31.601701039629006</v>
      </c>
      <c r="H12" s="190">
        <v>47.478946685791016</v>
      </c>
      <c r="I12" s="191">
        <v>21355.505859375</v>
      </c>
      <c r="J12" s="191">
        <v>4653.59423828125</v>
      </c>
      <c r="K12" s="191">
        <v>27589.169921875</v>
      </c>
      <c r="L12" s="191">
        <v>950415.5</v>
      </c>
      <c r="M12" s="191">
        <v>1004013.75</v>
      </c>
      <c r="N12" s="191">
        <f t="shared" si="1"/>
        <v>65.164276888015166</v>
      </c>
      <c r="O12" s="192">
        <f t="shared" si="0"/>
        <v>1220.6705548618122</v>
      </c>
      <c r="P12" s="191">
        <v>1201.8050000000001</v>
      </c>
      <c r="Q12">
        <v>0.66600000000000004</v>
      </c>
      <c r="R12" s="198">
        <f t="shared" si="2"/>
        <v>1.2350000146631006</v>
      </c>
      <c r="S12" s="188">
        <f t="shared" si="3"/>
        <v>65.164276888015166</v>
      </c>
      <c r="T12" s="215">
        <f t="shared" si="4"/>
        <v>31.621621364909064</v>
      </c>
    </row>
    <row r="13" spans="1:20" x14ac:dyDescent="0.25">
      <c r="A13" t="s">
        <v>164</v>
      </c>
      <c r="B13" t="s">
        <v>158</v>
      </c>
      <c r="C13">
        <v>62.2</v>
      </c>
      <c r="D13">
        <v>69</v>
      </c>
      <c r="E13" s="187">
        <v>209048.890625</v>
      </c>
      <c r="F13" s="213">
        <v>3.790697455406189E-2</v>
      </c>
      <c r="G13" s="189">
        <f t="shared" si="5"/>
        <v>7924.4109774767421</v>
      </c>
      <c r="H13" s="190">
        <v>42.204624176025391</v>
      </c>
      <c r="I13" s="191">
        <v>719538.0625</v>
      </c>
      <c r="J13" s="191">
        <v>238981.0625</v>
      </c>
      <c r="K13" s="191">
        <v>1915938.75</v>
      </c>
      <c r="L13" s="191">
        <v>61623512</v>
      </c>
      <c r="M13" s="191">
        <v>64497968</v>
      </c>
      <c r="N13" s="191">
        <f t="shared" si="1"/>
        <v>13.750170433366776</v>
      </c>
      <c r="O13" s="192">
        <f t="shared" si="0"/>
        <v>308.53054425291811</v>
      </c>
      <c r="P13" s="191">
        <v>328.1</v>
      </c>
      <c r="Q13">
        <v>70.457999999999998</v>
      </c>
      <c r="R13" s="198">
        <f t="shared" si="2"/>
        <v>2.9670000656419431</v>
      </c>
      <c r="S13" s="188">
        <f t="shared" si="3"/>
        <v>13.750170433366776</v>
      </c>
      <c r="T13" s="215">
        <f t="shared" si="4"/>
        <v>4.5851433228575642</v>
      </c>
    </row>
    <row r="14" spans="1:20" x14ac:dyDescent="0.25">
      <c r="A14" t="s">
        <v>165</v>
      </c>
      <c r="B14" t="s">
        <v>158</v>
      </c>
      <c r="C14">
        <v>66.5</v>
      </c>
      <c r="D14">
        <v>89</v>
      </c>
      <c r="E14" s="187">
        <v>301884.4375</v>
      </c>
      <c r="F14" s="213">
        <v>3.7999998778104782E-2</v>
      </c>
      <c r="G14" s="189">
        <f t="shared" si="5"/>
        <v>11471.608256128849</v>
      </c>
      <c r="H14" s="190">
        <v>45.846088409423828</v>
      </c>
      <c r="I14" s="191">
        <v>4881747</v>
      </c>
      <c r="J14" s="191">
        <v>1163028.25</v>
      </c>
      <c r="K14" s="191">
        <v>8563050</v>
      </c>
      <c r="L14" s="191">
        <v>285659104</v>
      </c>
      <c r="M14" s="191">
        <v>300266944</v>
      </c>
      <c r="N14" s="191">
        <f t="shared" si="1"/>
        <v>48.388798611057915</v>
      </c>
      <c r="O14" s="192">
        <f t="shared" si="0"/>
        <v>994.64201098474973</v>
      </c>
      <c r="P14" s="191">
        <v>1015.6079999999999</v>
      </c>
      <c r="Q14">
        <v>84.799000000000007</v>
      </c>
      <c r="R14" s="198">
        <f t="shared" si="2"/>
        <v>3.5599999705185201</v>
      </c>
      <c r="S14" s="188">
        <f t="shared" si="3"/>
        <v>48.388798611057915</v>
      </c>
      <c r="T14" s="215">
        <f t="shared" si="4"/>
        <v>20.023474214367212</v>
      </c>
    </row>
    <row r="15" spans="1:20" x14ac:dyDescent="0.25">
      <c r="A15" t="s">
        <v>166</v>
      </c>
      <c r="B15" t="s">
        <v>152</v>
      </c>
      <c r="C15">
        <v>68</v>
      </c>
      <c r="D15">
        <v>90</v>
      </c>
      <c r="E15" s="187">
        <v>38392.37890625</v>
      </c>
      <c r="F15" s="213">
        <v>3.8333334028720856E-2</v>
      </c>
      <c r="G15" s="189">
        <f t="shared" si="5"/>
        <v>1471.7078847704979</v>
      </c>
      <c r="H15" s="190">
        <v>46.246189117431641</v>
      </c>
      <c r="I15" s="191">
        <v>1190722.25</v>
      </c>
      <c r="J15" s="191">
        <v>239096.28125</v>
      </c>
      <c r="K15" s="191">
        <v>2802539.5</v>
      </c>
      <c r="L15" s="191">
        <v>95350800</v>
      </c>
      <c r="M15" s="191">
        <v>99583160</v>
      </c>
      <c r="N15" s="191">
        <f t="shared" si="1"/>
        <v>110.23953586166037</v>
      </c>
      <c r="O15" s="192">
        <f t="shared" si="0"/>
        <v>2593.8262446088902</v>
      </c>
      <c r="P15" s="191">
        <v>2615.0569999999998</v>
      </c>
      <c r="Q15">
        <v>23.699000000000002</v>
      </c>
      <c r="R15" s="198">
        <f t="shared" si="2"/>
        <v>1.6199999538482635</v>
      </c>
      <c r="S15" s="188">
        <f t="shared" si="3"/>
        <v>110.23953586166037</v>
      </c>
      <c r="T15" s="215">
        <f t="shared" si="4"/>
        <v>37.24224890417603</v>
      </c>
    </row>
    <row r="16" spans="1:20" x14ac:dyDescent="0.25">
      <c r="A16" t="s">
        <v>167</v>
      </c>
      <c r="B16" t="s">
        <v>152</v>
      </c>
      <c r="C16">
        <v>65.2</v>
      </c>
      <c r="D16">
        <v>81</v>
      </c>
      <c r="E16" s="187">
        <v>16736.220703125</v>
      </c>
      <c r="F16" s="213">
        <v>3.7999998778104782E-2</v>
      </c>
      <c r="G16" s="189">
        <f t="shared" si="5"/>
        <v>635.97636626884196</v>
      </c>
      <c r="H16" s="190">
        <v>44.417392730712891</v>
      </c>
      <c r="I16" s="191">
        <v>506597</v>
      </c>
      <c r="J16" s="191">
        <v>113164.5078125</v>
      </c>
      <c r="K16" s="191">
        <v>488973.84375</v>
      </c>
      <c r="L16" s="191">
        <v>16135996</v>
      </c>
      <c r="M16" s="191">
        <v>17244732</v>
      </c>
      <c r="N16" s="191">
        <f t="shared" si="1"/>
        <v>66.24765359096132</v>
      </c>
      <c r="O16" s="192">
        <f t="shared" si="0"/>
        <v>1030.3838785288037</v>
      </c>
      <c r="P16" s="191">
        <v>1046.0840000000001</v>
      </c>
      <c r="Q16">
        <v>10.331</v>
      </c>
      <c r="R16" s="198">
        <f t="shared" si="2"/>
        <v>1.6200000680597231</v>
      </c>
      <c r="S16" s="188">
        <f t="shared" si="3"/>
        <v>66.24765359096132</v>
      </c>
      <c r="T16" s="215">
        <f t="shared" si="4"/>
        <v>37.031150509193374</v>
      </c>
    </row>
    <row r="17" spans="1:20" x14ac:dyDescent="0.25">
      <c r="A17" t="s">
        <v>168</v>
      </c>
      <c r="B17" t="s">
        <v>152</v>
      </c>
      <c r="C17">
        <v>62.4</v>
      </c>
      <c r="D17">
        <v>67</v>
      </c>
      <c r="E17" s="187">
        <v>2424.72998046875</v>
      </c>
      <c r="F17" s="213">
        <v>3.7272728979587555E-2</v>
      </c>
      <c r="G17" s="189">
        <f t="shared" si="5"/>
        <v>90.376303410692344</v>
      </c>
      <c r="H17" s="190">
        <v>42.514942169189453</v>
      </c>
      <c r="I17" s="191">
        <v>26143.626953125</v>
      </c>
      <c r="J17" s="191">
        <v>7283.75244140625</v>
      </c>
      <c r="K17" s="191">
        <v>73524.28125</v>
      </c>
      <c r="L17" s="191">
        <v>2322837.75</v>
      </c>
      <c r="M17" s="191">
        <v>2429789.5</v>
      </c>
      <c r="N17" s="191">
        <f t="shared" si="1"/>
        <v>44.108689011159626</v>
      </c>
      <c r="O17" s="192">
        <f t="shared" si="0"/>
        <v>1002.0866321495608</v>
      </c>
      <c r="P17" s="191">
        <v>1084.404</v>
      </c>
      <c r="Q17">
        <v>1.645</v>
      </c>
      <c r="R17" s="198">
        <f t="shared" si="2"/>
        <v>1.4739999881268997</v>
      </c>
      <c r="S17" s="188">
        <f t="shared" si="3"/>
        <v>44.108689011159626</v>
      </c>
      <c r="T17" s="215">
        <f t="shared" si="4"/>
        <v>13.786021397759537</v>
      </c>
    </row>
    <row r="18" spans="1:20" x14ac:dyDescent="0.25">
      <c r="A18" t="s">
        <v>169</v>
      </c>
      <c r="B18" t="s">
        <v>154</v>
      </c>
      <c r="C18">
        <v>70.2</v>
      </c>
      <c r="D18">
        <v>46</v>
      </c>
      <c r="E18" s="187">
        <v>1400761.75</v>
      </c>
      <c r="F18" s="213">
        <v>3.0625000596046448E-2</v>
      </c>
      <c r="G18" s="189">
        <f t="shared" si="5"/>
        <v>42898.329428669065</v>
      </c>
      <c r="H18" s="190">
        <v>46.883979797363281</v>
      </c>
      <c r="I18" s="191">
        <v>123172000</v>
      </c>
      <c r="J18" s="191">
        <v>19727452</v>
      </c>
      <c r="K18" s="191">
        <v>132212616</v>
      </c>
      <c r="L18" s="191">
        <v>3549099264</v>
      </c>
      <c r="M18" s="191">
        <v>3824211456</v>
      </c>
      <c r="N18" s="191">
        <f t="shared" si="1"/>
        <v>196.40175640147228</v>
      </c>
      <c r="O18" s="192">
        <f t="shared" si="0"/>
        <v>2730.0941477021343</v>
      </c>
      <c r="P18" s="191">
        <v>3339.306</v>
      </c>
      <c r="Q18">
        <v>1215.9390000000001</v>
      </c>
      <c r="R18" s="198">
        <f t="shared" si="2"/>
        <v>1.1520000180930128</v>
      </c>
      <c r="S18" s="188">
        <f t="shared" si="3"/>
        <v>196.40175640147228</v>
      </c>
      <c r="T18" s="215">
        <f t="shared" si="4"/>
        <v>102.01552976442996</v>
      </c>
    </row>
    <row r="19" spans="1:20" x14ac:dyDescent="0.25">
      <c r="A19" t="s">
        <v>170</v>
      </c>
      <c r="B19" t="s">
        <v>171</v>
      </c>
      <c r="C19">
        <v>71</v>
      </c>
      <c r="D19">
        <v>21</v>
      </c>
      <c r="E19" s="187">
        <v>56250.48046875</v>
      </c>
      <c r="F19" s="213">
        <v>1.0000000707805157E-2</v>
      </c>
      <c r="G19" s="189">
        <f t="shared" si="5"/>
        <v>562.50484450188014</v>
      </c>
      <c r="H19" s="190">
        <v>46.437786102294922</v>
      </c>
      <c r="I19" s="191">
        <v>5793067.5</v>
      </c>
      <c r="J19" s="191">
        <v>1142116.5</v>
      </c>
      <c r="K19" s="191">
        <v>6077782</v>
      </c>
      <c r="L19" s="191">
        <v>61237912</v>
      </c>
      <c r="M19" s="191">
        <v>74250880</v>
      </c>
      <c r="N19" s="191">
        <f t="shared" si="1"/>
        <v>231.33964175167114</v>
      </c>
      <c r="O19" s="192">
        <f t="shared" si="0"/>
        <v>1320.0043694071223</v>
      </c>
      <c r="P19" s="191">
        <v>4394.1270000000004</v>
      </c>
      <c r="Q19">
        <v>234.37700000000001</v>
      </c>
      <c r="R19" s="198">
        <f t="shared" si="2"/>
        <v>0.24000000199998292</v>
      </c>
      <c r="S19" s="188">
        <f t="shared" si="3"/>
        <v>231.33964175167114</v>
      </c>
      <c r="T19" s="215">
        <f t="shared" si="4"/>
        <v>123.291106888462</v>
      </c>
    </row>
    <row r="20" spans="1:20" x14ac:dyDescent="0.25">
      <c r="A20" t="s">
        <v>172</v>
      </c>
      <c r="B20" t="s">
        <v>173</v>
      </c>
      <c r="C20">
        <v>67.400000000000006</v>
      </c>
      <c r="D20">
        <v>24</v>
      </c>
      <c r="E20" s="187">
        <v>13074.767578125</v>
      </c>
      <c r="F20" s="213">
        <v>3.1764708459377289E-2</v>
      </c>
      <c r="G20" s="189">
        <f t="shared" si="5"/>
        <v>415.31618029325909</v>
      </c>
      <c r="H20" s="190">
        <v>46.1165771484375</v>
      </c>
      <c r="I20" s="191">
        <v>1696777.875</v>
      </c>
      <c r="J20" s="191">
        <v>260976.171875</v>
      </c>
      <c r="K20" s="191">
        <v>1304966.75</v>
      </c>
      <c r="L20" s="191">
        <v>36400852</v>
      </c>
      <c r="M20" s="191">
        <v>39663572</v>
      </c>
      <c r="N20" s="191">
        <f t="shared" si="1"/>
        <v>249.54331137279718</v>
      </c>
      <c r="O20" s="192">
        <f t="shared" si="0"/>
        <v>3033.5967169588489</v>
      </c>
      <c r="P20" s="191">
        <v>3537.62</v>
      </c>
      <c r="Q20">
        <v>32.045999999999999</v>
      </c>
      <c r="R20" s="198">
        <f t="shared" si="2"/>
        <v>0.40799998683533045</v>
      </c>
      <c r="S20" s="188">
        <f t="shared" si="3"/>
        <v>249.54331137279718</v>
      </c>
      <c r="T20" s="215">
        <f t="shared" si="4"/>
        <v>149.73528479010665</v>
      </c>
    </row>
    <row r="21" spans="1:20" x14ac:dyDescent="0.25">
      <c r="A21" t="s">
        <v>174</v>
      </c>
      <c r="B21" t="s">
        <v>175</v>
      </c>
      <c r="C21">
        <v>75</v>
      </c>
      <c r="D21">
        <v>17</v>
      </c>
      <c r="E21" s="187">
        <v>1280.949951171875</v>
      </c>
      <c r="F21" s="213">
        <v>9.9999997764825821E-3</v>
      </c>
      <c r="G21" s="189">
        <f t="shared" si="5"/>
        <v>12.809499225404124</v>
      </c>
      <c r="H21" s="190">
        <v>50</v>
      </c>
      <c r="I21" s="191">
        <v>535611.0625</v>
      </c>
      <c r="J21" s="191">
        <v>75655.328125</v>
      </c>
      <c r="K21" s="191">
        <v>342213.78125</v>
      </c>
      <c r="L21" s="191">
        <v>3580857.5</v>
      </c>
      <c r="M21" s="191">
        <v>4534337.5</v>
      </c>
      <c r="N21" s="191">
        <f t="shared" si="1"/>
        <v>744.35396246567655</v>
      </c>
      <c r="O21" s="192">
        <f t="shared" si="0"/>
        <v>3539.8240937140195</v>
      </c>
      <c r="P21" s="191">
        <v>10864.733</v>
      </c>
      <c r="Q21">
        <v>75.349999999999994</v>
      </c>
      <c r="R21" s="198">
        <f t="shared" si="2"/>
        <v>1.6999999351982417E-2</v>
      </c>
      <c r="S21" s="188">
        <f t="shared" si="3"/>
        <v>744.35396246567655</v>
      </c>
      <c r="T21" s="215">
        <f t="shared" si="4"/>
        <v>477.1977156998085</v>
      </c>
    </row>
    <row r="22" spans="1:20" x14ac:dyDescent="0.25">
      <c r="A22" t="s">
        <v>176</v>
      </c>
      <c r="B22" t="s">
        <v>158</v>
      </c>
      <c r="C22">
        <v>63.9</v>
      </c>
      <c r="D22">
        <v>58</v>
      </c>
      <c r="E22" s="187">
        <v>92201.4375</v>
      </c>
      <c r="F22" s="213">
        <v>3.7749998271465302E-2</v>
      </c>
      <c r="G22" s="189">
        <f t="shared" si="5"/>
        <v>3480.604106251616</v>
      </c>
      <c r="H22" s="190">
        <v>43.101329803466797</v>
      </c>
      <c r="I22" s="191">
        <v>3479968</v>
      </c>
      <c r="J22" s="191">
        <v>685545.0625</v>
      </c>
      <c r="K22" s="191">
        <v>4280389</v>
      </c>
      <c r="L22" s="191">
        <v>138689968</v>
      </c>
      <c r="M22" s="191">
        <v>147135872</v>
      </c>
      <c r="N22" s="191">
        <f t="shared" si="1"/>
        <v>91.602715657226057</v>
      </c>
      <c r="O22" s="192">
        <f t="shared" si="0"/>
        <v>1595.8088722857494</v>
      </c>
      <c r="P22" s="191">
        <v>1661.5250000000001</v>
      </c>
      <c r="Q22">
        <v>39.741999999999997</v>
      </c>
      <c r="R22" s="198">
        <f t="shared" si="2"/>
        <v>2.3199999370942583</v>
      </c>
      <c r="S22" s="188">
        <f t="shared" si="3"/>
        <v>91.602715657226057</v>
      </c>
      <c r="T22" s="215">
        <f t="shared" si="4"/>
        <v>45.178396079779127</v>
      </c>
    </row>
    <row r="23" spans="1:20" x14ac:dyDescent="0.25">
      <c r="A23" t="s">
        <v>177</v>
      </c>
      <c r="B23" t="s">
        <v>152</v>
      </c>
      <c r="C23">
        <v>65</v>
      </c>
      <c r="D23">
        <v>68</v>
      </c>
      <c r="E23" s="187">
        <v>6156.10791015625</v>
      </c>
      <c r="F23" s="213">
        <v>3.8571428507566452E-2</v>
      </c>
      <c r="G23" s="189">
        <f t="shared" si="5"/>
        <v>237.44987614145612</v>
      </c>
      <c r="H23" s="190">
        <v>45.027622222900391</v>
      </c>
      <c r="I23" s="191">
        <v>3011923.25</v>
      </c>
      <c r="J23" s="191">
        <v>933345.25</v>
      </c>
      <c r="K23" s="191">
        <v>67395.890625</v>
      </c>
      <c r="L23" s="191">
        <v>2284230.5</v>
      </c>
      <c r="M23" s="191">
        <v>6296895</v>
      </c>
      <c r="N23" s="191">
        <f t="shared" si="1"/>
        <v>651.81839714098726</v>
      </c>
      <c r="O23" s="192">
        <f t="shared" si="0"/>
        <v>1022.8694967499647</v>
      </c>
      <c r="P23" s="191">
        <v>392.34699999999998</v>
      </c>
      <c r="Q23">
        <v>4.3109999999999999</v>
      </c>
      <c r="R23" s="198">
        <f t="shared" si="2"/>
        <v>1.4279999791594178</v>
      </c>
      <c r="S23" s="188">
        <f t="shared" si="3"/>
        <v>651.81839714098726</v>
      </c>
      <c r="T23" s="215">
        <f t="shared" si="4"/>
        <v>640.87058862161234</v>
      </c>
    </row>
    <row r="24" spans="1:20" x14ac:dyDescent="0.25">
      <c r="A24" t="s">
        <v>178</v>
      </c>
      <c r="B24" t="s">
        <v>158</v>
      </c>
      <c r="C24">
        <v>60</v>
      </c>
      <c r="D24">
        <v>40</v>
      </c>
      <c r="E24" s="187">
        <v>26365.919921875</v>
      </c>
      <c r="F24" s="213">
        <v>3.7857145071029663E-2</v>
      </c>
      <c r="G24" s="189">
        <f t="shared" si="5"/>
        <v>998.13845541357296</v>
      </c>
      <c r="H24" s="190">
        <v>39.871795654296875</v>
      </c>
      <c r="I24" s="191">
        <v>380924.96875</v>
      </c>
      <c r="J24" s="191">
        <v>94450.3984375</v>
      </c>
      <c r="K24" s="191">
        <v>609171.5</v>
      </c>
      <c r="L24" s="191">
        <v>18828508</v>
      </c>
      <c r="M24" s="191">
        <v>19913054</v>
      </c>
      <c r="N24" s="191">
        <f t="shared" si="1"/>
        <v>41.134421647381416</v>
      </c>
      <c r="O24" s="192">
        <f t="shared" si="0"/>
        <v>755.25731925927403</v>
      </c>
      <c r="P24" s="191">
        <v>827.05399999999997</v>
      </c>
      <c r="Q24">
        <v>15.694000000000001</v>
      </c>
      <c r="R24" s="198">
        <f t="shared" si="2"/>
        <v>1.6799999950219831</v>
      </c>
      <c r="S24" s="188">
        <f t="shared" si="3"/>
        <v>41.134421647381416</v>
      </c>
      <c r="T24" s="215">
        <f t="shared" si="4"/>
        <v>18.029917734563682</v>
      </c>
    </row>
    <row r="25" spans="1:20" x14ac:dyDescent="0.25">
      <c r="A25" t="s">
        <v>179</v>
      </c>
      <c r="B25" t="s">
        <v>152</v>
      </c>
      <c r="C25">
        <v>63</v>
      </c>
      <c r="D25">
        <v>55</v>
      </c>
      <c r="E25" s="187">
        <v>15478.154296875</v>
      </c>
      <c r="F25" s="213">
        <v>3.8571428507566452E-2</v>
      </c>
      <c r="G25" s="189">
        <f t="shared" si="5"/>
        <v>597.01452189099655</v>
      </c>
      <c r="H25" s="190">
        <v>43.107795715332031</v>
      </c>
      <c r="I25" s="191">
        <v>402383.84375</v>
      </c>
      <c r="J25" s="191">
        <v>87502.96875</v>
      </c>
      <c r="K25" s="191">
        <v>540565.3125</v>
      </c>
      <c r="L25" s="191">
        <v>17920106</v>
      </c>
      <c r="M25" s="191">
        <v>18950558</v>
      </c>
      <c r="N25" s="191">
        <f t="shared" si="1"/>
        <v>66.574612530387142</v>
      </c>
      <c r="O25" s="192">
        <f t="shared" si="0"/>
        <v>1224.3422333518195</v>
      </c>
      <c r="P25" s="191">
        <v>1251.6189999999999</v>
      </c>
      <c r="Q25">
        <v>13.401</v>
      </c>
      <c r="R25" s="198">
        <f t="shared" si="2"/>
        <v>1.1549999475319006</v>
      </c>
      <c r="S25" s="188">
        <f t="shared" si="3"/>
        <v>66.574612530387142</v>
      </c>
      <c r="T25" s="215">
        <f t="shared" si="4"/>
        <v>31.650208616857302</v>
      </c>
    </row>
    <row r="26" spans="1:20" x14ac:dyDescent="0.25">
      <c r="A26" t="s">
        <v>180</v>
      </c>
      <c r="B26" t="s">
        <v>152</v>
      </c>
      <c r="C26">
        <v>67.099999999999994</v>
      </c>
      <c r="D26">
        <v>76</v>
      </c>
      <c r="E26" s="187">
        <v>4832.080078125</v>
      </c>
      <c r="F26" s="213">
        <v>3.7500001490116119E-2</v>
      </c>
      <c r="G26" s="189">
        <f t="shared" si="5"/>
        <v>181.20301013004791</v>
      </c>
      <c r="H26" s="190">
        <v>45.921836853027344</v>
      </c>
      <c r="I26" s="191">
        <v>226621.46875</v>
      </c>
      <c r="J26" s="191">
        <v>40492.74609375</v>
      </c>
      <c r="K26" s="191">
        <v>282701.71875</v>
      </c>
      <c r="L26" s="191">
        <v>9299117</v>
      </c>
      <c r="M26" s="191">
        <v>9848933</v>
      </c>
      <c r="N26" s="191">
        <f t="shared" si="1"/>
        <v>113.78452440860541</v>
      </c>
      <c r="O26" s="192">
        <f t="shared" si="0"/>
        <v>2038.2387793171047</v>
      </c>
      <c r="P26" s="191">
        <v>2093.0459999999998</v>
      </c>
      <c r="Q26">
        <v>3.1789999999999998</v>
      </c>
      <c r="R26" s="198">
        <f t="shared" si="2"/>
        <v>1.5200000245753384</v>
      </c>
      <c r="S26" s="188">
        <f t="shared" si="3"/>
        <v>113.78452440860541</v>
      </c>
      <c r="T26" s="215">
        <f t="shared" si="4"/>
        <v>55.279343579794059</v>
      </c>
    </row>
    <row r="27" spans="1:20" x14ac:dyDescent="0.25">
      <c r="A27" t="s">
        <v>181</v>
      </c>
      <c r="B27" t="s">
        <v>158</v>
      </c>
      <c r="C27">
        <v>60.1</v>
      </c>
      <c r="D27">
        <v>69</v>
      </c>
      <c r="E27" s="187">
        <v>59574.6015625</v>
      </c>
      <c r="F27" s="213">
        <v>3.8000002503395081E-2</v>
      </c>
      <c r="G27" s="189">
        <f t="shared" si="5"/>
        <v>2263.8350085137645</v>
      </c>
      <c r="H27" s="190">
        <v>39.417083740234375</v>
      </c>
      <c r="I27" s="191">
        <v>1136886.5</v>
      </c>
      <c r="J27" s="191">
        <v>273985.21875</v>
      </c>
      <c r="K27" s="191">
        <v>1681145.875</v>
      </c>
      <c r="L27" s="191">
        <v>52169728</v>
      </c>
      <c r="M27" s="191">
        <v>55261744</v>
      </c>
      <c r="N27" s="191">
        <f t="shared" si="1"/>
        <v>51.901607608842326</v>
      </c>
      <c r="O27" s="192">
        <f t="shared" si="0"/>
        <v>927.60576740114061</v>
      </c>
      <c r="P27" s="191">
        <v>1010.375</v>
      </c>
      <c r="Q27">
        <v>21.585000000000001</v>
      </c>
      <c r="R27" s="198">
        <f t="shared" si="2"/>
        <v>2.7600000723882325</v>
      </c>
      <c r="S27" s="188">
        <f t="shared" si="3"/>
        <v>51.901607608842326</v>
      </c>
      <c r="T27" s="215">
        <f t="shared" si="4"/>
        <v>23.68243650391598</v>
      </c>
    </row>
    <row r="28" spans="1:20" x14ac:dyDescent="0.25">
      <c r="A28" t="s">
        <v>182</v>
      </c>
      <c r="B28" t="s">
        <v>154</v>
      </c>
      <c r="C28">
        <v>65.2</v>
      </c>
      <c r="D28">
        <v>18</v>
      </c>
      <c r="E28" s="187">
        <v>16520.490234375</v>
      </c>
      <c r="F28" s="213">
        <v>3.0000001192092896E-2</v>
      </c>
      <c r="G28" s="189">
        <f t="shared" si="5"/>
        <v>495.61472672520904</v>
      </c>
      <c r="H28" s="190">
        <v>40.286205291748047</v>
      </c>
      <c r="I28" s="191">
        <v>459374.40625</v>
      </c>
      <c r="J28" s="191">
        <v>99424.1640625</v>
      </c>
      <c r="K28" s="191">
        <v>584197.25</v>
      </c>
      <c r="L28" s="191">
        <v>14317952</v>
      </c>
      <c r="M28" s="191">
        <v>15460948</v>
      </c>
      <c r="N28" s="191">
        <f t="shared" si="1"/>
        <v>69.186555852574656</v>
      </c>
      <c r="O28" s="192">
        <f t="shared" si="0"/>
        <v>935.86496409347717</v>
      </c>
      <c r="P28" s="191">
        <v>1249.819</v>
      </c>
      <c r="Q28">
        <v>61.186999999999998</v>
      </c>
      <c r="R28" s="198">
        <f t="shared" si="2"/>
        <v>0.27000000383047051</v>
      </c>
      <c r="S28" s="188">
        <f t="shared" si="3"/>
        <v>69.186555852574656</v>
      </c>
      <c r="T28" s="215">
        <f t="shared" si="4"/>
        <v>33.824575565547093</v>
      </c>
    </row>
    <row r="29" spans="1:20" x14ac:dyDescent="0.25">
      <c r="A29" t="s">
        <v>183</v>
      </c>
      <c r="B29" t="s">
        <v>158</v>
      </c>
      <c r="C29">
        <v>66.900000000000006</v>
      </c>
      <c r="D29">
        <v>65</v>
      </c>
      <c r="E29" s="187">
        <v>4911.66015625</v>
      </c>
      <c r="F29" s="213">
        <v>3.7499997764825821E-2</v>
      </c>
      <c r="G29" s="189">
        <f t="shared" si="5"/>
        <v>184.18724488095904</v>
      </c>
      <c r="H29" s="190">
        <v>44.877529144287109</v>
      </c>
      <c r="I29" s="191">
        <v>1050374</v>
      </c>
      <c r="J29" s="191">
        <v>130179.6953125</v>
      </c>
      <c r="K29" s="191">
        <v>954522.1875</v>
      </c>
      <c r="L29" s="191">
        <v>31059184</v>
      </c>
      <c r="M29" s="191">
        <v>33194260</v>
      </c>
      <c r="N29" s="191">
        <f t="shared" si="1"/>
        <v>434.69536060951896</v>
      </c>
      <c r="O29" s="192">
        <f t="shared" si="0"/>
        <v>6758.2566676077731</v>
      </c>
      <c r="P29" s="191">
        <v>6952.5190000000002</v>
      </c>
      <c r="Q29">
        <v>2.0990000000000002</v>
      </c>
      <c r="R29" s="198">
        <f t="shared" si="2"/>
        <v>2.3400000744402099</v>
      </c>
      <c r="S29" s="188">
        <f t="shared" si="3"/>
        <v>434.69536060951896</v>
      </c>
      <c r="T29" s="215">
        <f t="shared" si="4"/>
        <v>240.3573654847163</v>
      </c>
    </row>
    <row r="30" spans="1:20" x14ac:dyDescent="0.25">
      <c r="A30" t="s">
        <v>184</v>
      </c>
      <c r="B30" t="s">
        <v>154</v>
      </c>
      <c r="C30">
        <v>67.900000000000006</v>
      </c>
      <c r="D30">
        <v>73</v>
      </c>
      <c r="E30" s="187">
        <v>37035.08984375</v>
      </c>
      <c r="F30" s="213">
        <v>3.0000001192092896E-2</v>
      </c>
      <c r="G30" s="189">
        <f t="shared" si="5"/>
        <v>1111.0527394617675</v>
      </c>
      <c r="H30" s="190">
        <v>45.895282745361328</v>
      </c>
      <c r="I30" s="191">
        <v>866391.9375</v>
      </c>
      <c r="J30" s="191">
        <v>190534.015625</v>
      </c>
      <c r="K30" s="191">
        <v>1331450.5</v>
      </c>
      <c r="L30" s="191">
        <v>34614216</v>
      </c>
      <c r="M30" s="191">
        <v>37002592</v>
      </c>
      <c r="N30" s="191">
        <f t="shared" si="1"/>
        <v>64.489554722332059</v>
      </c>
      <c r="O30" s="192">
        <f t="shared" si="0"/>
        <v>999.12251208550845</v>
      </c>
      <c r="P30" s="191">
        <v>1270.6389999999999</v>
      </c>
      <c r="Q30">
        <v>28.184999999999999</v>
      </c>
      <c r="R30" s="198">
        <f t="shared" si="2"/>
        <v>1.3139999944562712</v>
      </c>
      <c r="S30" s="188">
        <f t="shared" si="3"/>
        <v>64.489554722332059</v>
      </c>
      <c r="T30" s="215">
        <f t="shared" si="4"/>
        <v>28.538501123775877</v>
      </c>
    </row>
    <row r="31" spans="1:20" x14ac:dyDescent="0.25">
      <c r="A31" t="s">
        <v>185</v>
      </c>
      <c r="B31" t="s">
        <v>152</v>
      </c>
      <c r="C31">
        <v>64.099999999999994</v>
      </c>
      <c r="D31">
        <v>93</v>
      </c>
      <c r="E31" s="187">
        <v>29935.025390625</v>
      </c>
      <c r="F31" s="213">
        <v>3.7727274000644684E-2</v>
      </c>
      <c r="G31" s="189">
        <f t="shared" si="5"/>
        <v>1129.366905128365</v>
      </c>
      <c r="H31" s="190">
        <v>44.308334350585938</v>
      </c>
      <c r="I31" s="191">
        <v>419298.09375</v>
      </c>
      <c r="J31" s="191">
        <v>107914.296875</v>
      </c>
      <c r="K31" s="191">
        <v>631762.5</v>
      </c>
      <c r="L31" s="191">
        <v>20689156</v>
      </c>
      <c r="M31" s="191">
        <v>21848130</v>
      </c>
      <c r="N31" s="191">
        <f t="shared" si="1"/>
        <v>38.716349009276797</v>
      </c>
      <c r="O31" s="192">
        <f t="shared" si="0"/>
        <v>729.8517276969593</v>
      </c>
      <c r="P31" s="191">
        <v>755.3</v>
      </c>
      <c r="Q31">
        <v>14.631</v>
      </c>
      <c r="R31" s="198">
        <f t="shared" si="2"/>
        <v>2.04599995835042</v>
      </c>
      <c r="S31" s="188">
        <f t="shared" si="3"/>
        <v>38.716349009276797</v>
      </c>
      <c r="T31" s="215">
        <f t="shared" si="4"/>
        <v>17.611890544449363</v>
      </c>
    </row>
    <row r="32" spans="1:20" x14ac:dyDescent="0.25">
      <c r="A32" t="s">
        <v>186</v>
      </c>
      <c r="B32" t="s">
        <v>152</v>
      </c>
      <c r="C32">
        <v>62.1</v>
      </c>
      <c r="D32">
        <v>70</v>
      </c>
      <c r="E32" s="187">
        <v>218471.40625</v>
      </c>
      <c r="F32" s="213">
        <v>3.7999998778104782E-2</v>
      </c>
      <c r="G32" s="189">
        <f t="shared" si="5"/>
        <v>8301.9131705508335</v>
      </c>
      <c r="H32" s="190">
        <v>41.452644348144531</v>
      </c>
      <c r="I32" s="191">
        <v>15056800</v>
      </c>
      <c r="J32" s="191">
        <v>2656070.5</v>
      </c>
      <c r="K32" s="191">
        <v>14778239</v>
      </c>
      <c r="L32" s="191">
        <v>470750240</v>
      </c>
      <c r="M32" s="191">
        <v>503241344</v>
      </c>
      <c r="N32" s="191">
        <f t="shared" si="1"/>
        <v>148.72019207319036</v>
      </c>
      <c r="O32" s="192">
        <f t="shared" si="0"/>
        <v>2303.4654861155313</v>
      </c>
      <c r="P32" s="191">
        <v>2421.9569999999999</v>
      </c>
      <c r="Q32">
        <v>156.05099999999999</v>
      </c>
      <c r="R32" s="198">
        <f t="shared" si="2"/>
        <v>1.4000000400510091</v>
      </c>
      <c r="S32" s="188">
        <f t="shared" si="3"/>
        <v>148.72019207319036</v>
      </c>
      <c r="T32" s="215">
        <f t="shared" si="4"/>
        <v>81.076378845343754</v>
      </c>
    </row>
    <row r="33" spans="1:20" x14ac:dyDescent="0.25">
      <c r="A33" t="s">
        <v>187</v>
      </c>
      <c r="B33" t="s">
        <v>173</v>
      </c>
      <c r="C33">
        <v>70.599999999999994</v>
      </c>
      <c r="D33">
        <v>42</v>
      </c>
      <c r="E33" s="187">
        <v>111940.4140625</v>
      </c>
      <c r="F33" s="213">
        <v>3.1874999403953552E-2</v>
      </c>
      <c r="G33" s="189">
        <f t="shared" si="5"/>
        <v>3568.1006315205013</v>
      </c>
      <c r="H33" s="190">
        <v>48.281288146972656</v>
      </c>
      <c r="I33" s="191">
        <v>6425536.5</v>
      </c>
      <c r="J33" s="191">
        <v>1101388.375</v>
      </c>
      <c r="K33" s="191">
        <v>8812557</v>
      </c>
      <c r="L33" s="191">
        <v>251607536</v>
      </c>
      <c r="M33" s="191">
        <v>267947024</v>
      </c>
      <c r="N33" s="191">
        <f t="shared" si="1"/>
        <v>145.96588740396416</v>
      </c>
      <c r="O33" s="192">
        <f t="shared" si="0"/>
        <v>2393.657610113863</v>
      </c>
      <c r="P33" s="191">
        <v>2790.86</v>
      </c>
      <c r="Q33">
        <v>166.578</v>
      </c>
      <c r="R33" s="198">
        <f t="shared" si="2"/>
        <v>0.67199998836881225</v>
      </c>
      <c r="S33" s="188">
        <f t="shared" si="3"/>
        <v>145.96588740396416</v>
      </c>
      <c r="T33" s="215">
        <f t="shared" si="4"/>
        <v>67.240459471567362</v>
      </c>
    </row>
    <row r="34" spans="1:20" x14ac:dyDescent="0.25">
      <c r="A34" t="s">
        <v>188</v>
      </c>
      <c r="B34" t="s">
        <v>162</v>
      </c>
      <c r="C34">
        <v>73.2</v>
      </c>
      <c r="D34">
        <v>22</v>
      </c>
      <c r="E34" s="187">
        <v>2068.285888671875</v>
      </c>
      <c r="F34" s="213">
        <v>1.0000000707805157E-2</v>
      </c>
      <c r="G34" s="189">
        <f t="shared" si="5"/>
        <v>20.682860350662168</v>
      </c>
      <c r="H34" s="190">
        <v>50.245452880859375</v>
      </c>
      <c r="I34" s="191">
        <v>172128.5625</v>
      </c>
      <c r="J34" s="191">
        <v>35391.765625</v>
      </c>
      <c r="K34" s="191">
        <v>190078.46875</v>
      </c>
      <c r="L34" s="191">
        <v>1988943.625</v>
      </c>
      <c r="M34" s="191">
        <v>2386542.5</v>
      </c>
      <c r="N34" s="191">
        <f t="shared" si="1"/>
        <v>192.2358988439037</v>
      </c>
      <c r="O34" s="192">
        <f t="shared" si="0"/>
        <v>1153.8745746278285</v>
      </c>
      <c r="P34" s="191">
        <v>3737.4560000000001</v>
      </c>
      <c r="Q34">
        <v>94.013000000000005</v>
      </c>
      <c r="R34" s="198">
        <f t="shared" si="2"/>
        <v>2.1999998815822014E-2</v>
      </c>
      <c r="S34" s="188">
        <f t="shared" si="3"/>
        <v>192.2358988439037</v>
      </c>
      <c r="T34" s="215">
        <f t="shared" si="4"/>
        <v>100.33445050396621</v>
      </c>
    </row>
    <row r="35" spans="1:20" x14ac:dyDescent="0.25">
      <c r="A35" t="s">
        <v>189</v>
      </c>
      <c r="B35" t="s">
        <v>158</v>
      </c>
      <c r="C35">
        <v>63.6</v>
      </c>
      <c r="D35">
        <v>80</v>
      </c>
      <c r="E35" s="187">
        <v>12677.2001953125</v>
      </c>
      <c r="F35" s="213">
        <v>3.8292683660984039E-2</v>
      </c>
      <c r="G35" s="189">
        <f t="shared" si="5"/>
        <v>485.44401678606664</v>
      </c>
      <c r="H35" s="190">
        <v>42.922710418701172</v>
      </c>
      <c r="I35" s="191">
        <v>1480130.75</v>
      </c>
      <c r="J35" s="191">
        <v>214790.59375</v>
      </c>
      <c r="K35" s="191">
        <v>1566604.5</v>
      </c>
      <c r="L35" s="191">
        <v>50932392</v>
      </c>
      <c r="M35" s="191">
        <v>54193916</v>
      </c>
      <c r="N35" s="191">
        <f t="shared" si="1"/>
        <v>257.27493401547576</v>
      </c>
      <c r="O35" s="192">
        <f t="shared" si="0"/>
        <v>4274.9120598441486</v>
      </c>
      <c r="P35" s="191">
        <v>4426.7160000000003</v>
      </c>
      <c r="Q35">
        <v>3.8650000000000002</v>
      </c>
      <c r="R35" s="198">
        <f t="shared" si="2"/>
        <v>3.2800000505336353</v>
      </c>
      <c r="S35" s="188">
        <f t="shared" si="3"/>
        <v>257.27493401547576</v>
      </c>
      <c r="T35" s="215">
        <f t="shared" si="4"/>
        <v>133.69839693599783</v>
      </c>
    </row>
    <row r="36" spans="1:20" x14ac:dyDescent="0.25">
      <c r="A36" t="s">
        <v>190</v>
      </c>
      <c r="B36" t="s">
        <v>173</v>
      </c>
      <c r="C36">
        <v>70.2</v>
      </c>
      <c r="D36">
        <v>54</v>
      </c>
      <c r="E36" s="187">
        <v>23714.85546875</v>
      </c>
      <c r="F36" s="213">
        <v>3.2222222536802292E-2</v>
      </c>
      <c r="G36" s="189">
        <f t="shared" si="5"/>
        <v>764.14535034216533</v>
      </c>
      <c r="H36" s="190">
        <v>49.753707885742188</v>
      </c>
      <c r="I36" s="191">
        <v>1763215.625</v>
      </c>
      <c r="J36" s="191">
        <v>294516.25</v>
      </c>
      <c r="K36" s="191">
        <v>1737240.625</v>
      </c>
      <c r="L36" s="191">
        <v>50634948</v>
      </c>
      <c r="M36" s="191">
        <v>54429920</v>
      </c>
      <c r="N36" s="191">
        <f t="shared" si="1"/>
        <v>160.025116113433</v>
      </c>
      <c r="O36" s="192">
        <f t="shared" si="0"/>
        <v>2295.1824467884467</v>
      </c>
      <c r="P36" s="191">
        <v>2598.4</v>
      </c>
      <c r="Q36">
        <v>24.398</v>
      </c>
      <c r="R36" s="198">
        <f t="shared" si="2"/>
        <v>0.9719999782256743</v>
      </c>
      <c r="S36" s="188">
        <f t="shared" si="3"/>
        <v>160.025116113433</v>
      </c>
      <c r="T36" s="215">
        <f t="shared" si="4"/>
        <v>86.769741342575514</v>
      </c>
    </row>
    <row r="37" spans="1:20" x14ac:dyDescent="0.25">
      <c r="A37" t="s">
        <v>191</v>
      </c>
      <c r="B37" t="s">
        <v>158</v>
      </c>
      <c r="C37">
        <v>66.8</v>
      </c>
      <c r="D37">
        <v>77</v>
      </c>
      <c r="E37" s="187">
        <v>30793.83984375</v>
      </c>
      <c r="F37" s="213">
        <v>3.7749998271465302E-2</v>
      </c>
      <c r="G37" s="189">
        <f t="shared" si="5"/>
        <v>1162.4674008733418</v>
      </c>
      <c r="H37" s="190">
        <v>45.984939575195313</v>
      </c>
      <c r="I37" s="191">
        <v>719126.5625</v>
      </c>
      <c r="J37" s="191">
        <v>159407.578125</v>
      </c>
      <c r="K37" s="191">
        <v>1046720.375</v>
      </c>
      <c r="L37" s="191">
        <v>34674216</v>
      </c>
      <c r="M37" s="191">
        <v>36599472</v>
      </c>
      <c r="N37" s="191">
        <f t="shared" si="1"/>
        <v>62.5207679650823</v>
      </c>
      <c r="O37" s="192">
        <f t="shared" si="0"/>
        <v>1188.5322579356184</v>
      </c>
      <c r="P37" s="191">
        <v>1216.5450000000001</v>
      </c>
      <c r="Q37">
        <v>9.9979999999999993</v>
      </c>
      <c r="R37" s="198">
        <f t="shared" si="2"/>
        <v>3.0799999843718746</v>
      </c>
      <c r="S37" s="188">
        <f t="shared" si="3"/>
        <v>62.5207679650823</v>
      </c>
      <c r="T37" s="215">
        <f t="shared" si="4"/>
        <v>28.529541787667302</v>
      </c>
    </row>
    <row r="38" spans="1:20" x14ac:dyDescent="0.25">
      <c r="A38" t="s">
        <v>192</v>
      </c>
      <c r="B38" t="s">
        <v>152</v>
      </c>
      <c r="C38">
        <v>68.8</v>
      </c>
      <c r="D38">
        <v>76</v>
      </c>
      <c r="E38" s="187">
        <v>238.260009765625</v>
      </c>
      <c r="F38" s="213">
        <v>3.526315838098526E-2</v>
      </c>
      <c r="G38" s="189">
        <f t="shared" si="5"/>
        <v>8.4018004602203291</v>
      </c>
      <c r="H38" s="190">
        <v>47.549999237060547</v>
      </c>
      <c r="I38" s="191">
        <v>14624.572265625</v>
      </c>
      <c r="J38" s="191">
        <v>2695.619140625</v>
      </c>
      <c r="K38" s="191">
        <v>12570.4443359375</v>
      </c>
      <c r="L38" s="191">
        <v>395408.1875</v>
      </c>
      <c r="M38" s="191">
        <v>425298.8125</v>
      </c>
      <c r="N38" s="191">
        <f t="shared" si="1"/>
        <v>125.4538509067919</v>
      </c>
      <c r="O38" s="192">
        <f t="shared" si="0"/>
        <v>1785.0197056499912</v>
      </c>
      <c r="P38" s="191">
        <v>1880.634</v>
      </c>
      <c r="Q38">
        <v>0.16500000000000001</v>
      </c>
      <c r="R38" s="198">
        <f t="shared" si="2"/>
        <v>1.4440000591856061</v>
      </c>
      <c r="S38" s="188">
        <f t="shared" si="3"/>
        <v>125.4538509067919</v>
      </c>
      <c r="T38" s="215">
        <f t="shared" si="4"/>
        <v>72.694496333177241</v>
      </c>
    </row>
    <row r="39" spans="1:20" x14ac:dyDescent="0.25">
      <c r="A39" t="s">
        <v>193</v>
      </c>
      <c r="B39" t="s">
        <v>152</v>
      </c>
      <c r="C39">
        <v>67.900000000000006</v>
      </c>
      <c r="D39">
        <v>72</v>
      </c>
      <c r="E39" s="187">
        <v>17959.103515625</v>
      </c>
      <c r="F39" s="213">
        <v>3.8421053439378738E-2</v>
      </c>
      <c r="G39" s="189">
        <f t="shared" si="5"/>
        <v>690.0076758971627</v>
      </c>
      <c r="H39" s="190">
        <v>46.843090057373047</v>
      </c>
      <c r="I39" s="191">
        <v>806965.25</v>
      </c>
      <c r="J39" s="191">
        <v>151589.703125</v>
      </c>
      <c r="K39" s="191">
        <v>911871.8125</v>
      </c>
      <c r="L39" s="191">
        <v>31100064</v>
      </c>
      <c r="M39" s="191">
        <v>32970490</v>
      </c>
      <c r="N39" s="191">
        <f t="shared" si="1"/>
        <v>104.14922793878148</v>
      </c>
      <c r="O39" s="192">
        <f t="shared" si="0"/>
        <v>1835.8650236251831</v>
      </c>
      <c r="P39" s="191">
        <v>1819.222</v>
      </c>
      <c r="Q39">
        <v>13.128</v>
      </c>
      <c r="R39" s="198">
        <f t="shared" si="2"/>
        <v>1.3679999631036714</v>
      </c>
      <c r="S39" s="188">
        <f t="shared" si="3"/>
        <v>104.14922793878148</v>
      </c>
      <c r="T39" s="215">
        <f t="shared" si="4"/>
        <v>53.374320844636053</v>
      </c>
    </row>
    <row r="40" spans="1:20" x14ac:dyDescent="0.25">
      <c r="A40" t="s">
        <v>194</v>
      </c>
      <c r="B40" t="s">
        <v>152</v>
      </c>
      <c r="C40">
        <v>62.7</v>
      </c>
      <c r="D40">
        <v>89</v>
      </c>
      <c r="E40" s="187">
        <v>10409.4404296875</v>
      </c>
      <c r="F40" s="213">
        <v>3.8000002503395081E-2</v>
      </c>
      <c r="G40" s="189">
        <f t="shared" si="5"/>
        <v>395.55876238706696</v>
      </c>
      <c r="H40" s="190">
        <v>41.966667175292969</v>
      </c>
      <c r="I40" s="191">
        <v>169122.703125</v>
      </c>
      <c r="J40" s="191">
        <v>41668.5390625</v>
      </c>
      <c r="K40" s="191">
        <v>234657.34375</v>
      </c>
      <c r="L40" s="191">
        <v>7474842</v>
      </c>
      <c r="M40" s="191">
        <v>7920290.5</v>
      </c>
      <c r="N40" s="191">
        <f t="shared" si="1"/>
        <v>42.79275038330497</v>
      </c>
      <c r="O40" s="192">
        <f t="shared" si="0"/>
        <v>760.87572175460093</v>
      </c>
      <c r="P40" s="191">
        <v>807.13300000000004</v>
      </c>
      <c r="Q40">
        <v>5.8479999999999999</v>
      </c>
      <c r="R40" s="198">
        <f t="shared" si="2"/>
        <v>1.7800000734759744</v>
      </c>
      <c r="S40" s="188">
        <f t="shared" si="3"/>
        <v>42.79275038330497</v>
      </c>
      <c r="T40" s="215">
        <f t="shared" si="4"/>
        <v>20.250007059584867</v>
      </c>
    </row>
    <row r="41" spans="1:20" x14ac:dyDescent="0.25">
      <c r="A41" t="s">
        <v>195</v>
      </c>
      <c r="B41" t="s">
        <v>158</v>
      </c>
      <c r="C41">
        <v>58.2</v>
      </c>
      <c r="D41">
        <v>41</v>
      </c>
      <c r="E41" s="187">
        <v>67530.9375</v>
      </c>
      <c r="F41" s="213">
        <v>3.7575758993625641E-2</v>
      </c>
      <c r="G41" s="189">
        <f t="shared" si="5"/>
        <v>2537.5262321135961</v>
      </c>
      <c r="H41" s="190">
        <v>34.734943389892578</v>
      </c>
      <c r="I41" s="191">
        <v>22970016</v>
      </c>
      <c r="J41" s="191">
        <v>2442863.25</v>
      </c>
      <c r="K41" s="191">
        <v>19813174</v>
      </c>
      <c r="L41" s="191">
        <v>562907456</v>
      </c>
      <c r="M41" s="191">
        <v>608133504</v>
      </c>
      <c r="N41" s="191">
        <f t="shared" si="1"/>
        <v>669.70865390399774</v>
      </c>
      <c r="O41" s="192">
        <f t="shared" si="0"/>
        <v>9005.2578346035843</v>
      </c>
      <c r="P41" s="191">
        <v>10497.583000000001</v>
      </c>
      <c r="Q41">
        <v>49.911999999999999</v>
      </c>
      <c r="R41" s="198">
        <f t="shared" si="2"/>
        <v>1.353000030052893</v>
      </c>
      <c r="S41" s="188">
        <f t="shared" si="3"/>
        <v>669.70865390399774</v>
      </c>
      <c r="T41" s="215">
        <f t="shared" si="4"/>
        <v>376.31462246470369</v>
      </c>
    </row>
    <row r="42" spans="1:20" x14ac:dyDescent="0.25">
      <c r="A42" t="s">
        <v>196</v>
      </c>
      <c r="B42" t="s">
        <v>173</v>
      </c>
      <c r="C42">
        <v>65.900000000000006</v>
      </c>
      <c r="D42">
        <v>65</v>
      </c>
      <c r="E42" s="187">
        <v>44348.0703125</v>
      </c>
      <c r="F42" s="213">
        <v>3.1176470220088959E-2</v>
      </c>
      <c r="G42" s="189">
        <f t="shared" si="5"/>
        <v>1382.6162934160675</v>
      </c>
      <c r="H42" s="190">
        <v>44.351776123046875</v>
      </c>
      <c r="I42" s="191">
        <v>2630878.75</v>
      </c>
      <c r="J42" s="191">
        <v>467540.8125</v>
      </c>
      <c r="K42" s="191">
        <v>3120518.5</v>
      </c>
      <c r="L42" s="191">
        <v>83555624</v>
      </c>
      <c r="M42" s="191">
        <v>89774560</v>
      </c>
      <c r="N42" s="191">
        <f t="shared" si="1"/>
        <v>140.23018405712057</v>
      </c>
      <c r="O42" s="192">
        <f t="shared" si="0"/>
        <v>2024.317165716589</v>
      </c>
      <c r="P42" s="191">
        <v>2491.6419999999998</v>
      </c>
      <c r="Q42">
        <v>40.134</v>
      </c>
      <c r="R42" s="198">
        <f t="shared" si="2"/>
        <v>1.1050000077864157</v>
      </c>
      <c r="S42" s="188">
        <f t="shared" si="3"/>
        <v>140.23018405712057</v>
      </c>
      <c r="T42" s="215">
        <f t="shared" si="4"/>
        <v>69.865938713159196</v>
      </c>
    </row>
    <row r="43" spans="1:20" x14ac:dyDescent="0.25">
      <c r="A43" t="s">
        <v>197</v>
      </c>
      <c r="B43" t="s">
        <v>158</v>
      </c>
      <c r="C43">
        <v>53.8</v>
      </c>
      <c r="D43">
        <v>50</v>
      </c>
      <c r="E43" s="187">
        <v>2089.800048828125</v>
      </c>
      <c r="F43" s="213">
        <v>3.7777777761220932E-2</v>
      </c>
      <c r="G43" s="189">
        <f t="shared" si="5"/>
        <v>78.948001810017558</v>
      </c>
      <c r="H43" s="190">
        <v>32.014286041259766</v>
      </c>
      <c r="I43" s="191">
        <v>304007.34375</v>
      </c>
      <c r="J43" s="191">
        <v>41038.7265625</v>
      </c>
      <c r="K43" s="191">
        <v>305180.1875</v>
      </c>
      <c r="L43" s="191">
        <v>8413268</v>
      </c>
      <c r="M43" s="191">
        <v>9063494</v>
      </c>
      <c r="N43" s="191">
        <f t="shared" si="1"/>
        <v>311.14280917790222</v>
      </c>
      <c r="O43" s="192">
        <f t="shared" si="0"/>
        <v>4337.014924027033</v>
      </c>
      <c r="P43" s="191">
        <v>5226.7610000000004</v>
      </c>
      <c r="Q43">
        <v>1.161</v>
      </c>
      <c r="R43" s="198">
        <f t="shared" si="2"/>
        <v>1.8000000420569551</v>
      </c>
      <c r="S43" s="188">
        <f t="shared" si="3"/>
        <v>311.14280917790222</v>
      </c>
      <c r="T43" s="215">
        <f t="shared" si="4"/>
        <v>165.10960965188409</v>
      </c>
    </row>
    <row r="44" spans="1:20" x14ac:dyDescent="0.25">
      <c r="A44" t="s">
        <v>198</v>
      </c>
      <c r="B44" t="s">
        <v>158</v>
      </c>
      <c r="C44">
        <v>60.5</v>
      </c>
      <c r="D44">
        <v>67</v>
      </c>
      <c r="E44" s="187">
        <v>108044.9375</v>
      </c>
      <c r="F44" s="213">
        <v>3.8205128163099289E-2</v>
      </c>
      <c r="G44" s="189">
        <f t="shared" si="5"/>
        <v>4127.8706845615525</v>
      </c>
      <c r="H44" s="190">
        <v>39.71417236328125</v>
      </c>
      <c r="I44" s="191">
        <v>3302888.75</v>
      </c>
      <c r="J44" s="191">
        <v>695710</v>
      </c>
      <c r="K44" s="191">
        <v>4263801.5</v>
      </c>
      <c r="L44" s="191">
        <v>133074072</v>
      </c>
      <c r="M44" s="191">
        <v>141336480</v>
      </c>
      <c r="N44" s="191">
        <f t="shared" si="1"/>
        <v>76.471886986838228</v>
      </c>
      <c r="O44" s="192">
        <f t="shared" si="0"/>
        <v>1308.1268152892401</v>
      </c>
      <c r="P44" s="191">
        <v>1413.4359999999999</v>
      </c>
      <c r="Q44">
        <v>41.348999999999997</v>
      </c>
      <c r="R44" s="198">
        <f t="shared" si="2"/>
        <v>2.6130000120921908</v>
      </c>
      <c r="S44" s="188">
        <f t="shared" si="3"/>
        <v>76.471886986838228</v>
      </c>
      <c r="T44" s="215">
        <f t="shared" si="4"/>
        <v>37.008663640533825</v>
      </c>
    </row>
    <row r="45" spans="1:20" x14ac:dyDescent="0.25">
      <c r="A45" t="s">
        <v>199</v>
      </c>
      <c r="B45" t="s">
        <v>171</v>
      </c>
      <c r="C45">
        <v>71.5</v>
      </c>
      <c r="D45">
        <v>4</v>
      </c>
      <c r="E45" s="187">
        <v>1022.0480346679688</v>
      </c>
      <c r="F45" s="213">
        <v>1.0000000707805157E-2</v>
      </c>
      <c r="G45" s="189">
        <f t="shared" si="5"/>
        <v>10.220481070090557</v>
      </c>
      <c r="H45" s="190">
        <v>45.136363983154297</v>
      </c>
      <c r="I45" s="191">
        <v>229541.984375</v>
      </c>
      <c r="J45" s="191">
        <v>35932.98828125</v>
      </c>
      <c r="K45" s="191">
        <v>230893.390625</v>
      </c>
      <c r="L45" s="191">
        <v>2302305.5</v>
      </c>
      <c r="M45" s="191">
        <v>2798673.75</v>
      </c>
      <c r="N45" s="191">
        <f t="shared" si="1"/>
        <v>485.66050365969784</v>
      </c>
      <c r="O45" s="192">
        <f t="shared" si="0"/>
        <v>2738.2996249380794</v>
      </c>
      <c r="P45" s="191">
        <v>9187.4279999999999</v>
      </c>
      <c r="Q45">
        <v>63.878</v>
      </c>
      <c r="R45" s="198">
        <f t="shared" si="2"/>
        <v>1.6000000542721576E-2</v>
      </c>
      <c r="S45" s="188">
        <f t="shared" si="3"/>
        <v>485.66050365969784</v>
      </c>
      <c r="T45" s="215">
        <f t="shared" si="4"/>
        <v>259.74803888986929</v>
      </c>
    </row>
    <row r="46" spans="1:20" x14ac:dyDescent="0.25">
      <c r="A46" t="s">
        <v>200</v>
      </c>
      <c r="B46" t="s">
        <v>152</v>
      </c>
      <c r="C46">
        <v>67.7</v>
      </c>
      <c r="D46">
        <v>48</v>
      </c>
      <c r="E46" s="187">
        <v>1578.6719970703125</v>
      </c>
      <c r="F46" s="213">
        <v>3.7368420511484146E-2</v>
      </c>
      <c r="G46" s="189">
        <f t="shared" si="5"/>
        <v>58.992479036227905</v>
      </c>
      <c r="H46" s="190">
        <v>46.450000762939453</v>
      </c>
      <c r="I46" s="191">
        <v>54086.74609375</v>
      </c>
      <c r="J46" s="191">
        <v>11106.62109375</v>
      </c>
      <c r="K46" s="191">
        <v>89078.28125</v>
      </c>
      <c r="L46" s="191">
        <v>2949779</v>
      </c>
      <c r="M46" s="191">
        <v>3104050.75</v>
      </c>
      <c r="N46" s="191">
        <f t="shared" si="1"/>
        <v>97.722420315173864</v>
      </c>
      <c r="O46" s="192">
        <f t="shared" si="0"/>
        <v>1966.2417245383929</v>
      </c>
      <c r="P46" s="191">
        <v>2018.2329999999999</v>
      </c>
      <c r="Q46">
        <v>1.7310000000000001</v>
      </c>
      <c r="R46" s="198">
        <f t="shared" si="2"/>
        <v>0.91199999830751732</v>
      </c>
      <c r="S46" s="188">
        <f t="shared" si="3"/>
        <v>97.722420315173864</v>
      </c>
      <c r="T46" s="215">
        <f t="shared" si="4"/>
        <v>41.296334709480725</v>
      </c>
    </row>
    <row r="47" spans="1:20" x14ac:dyDescent="0.25">
      <c r="A47" t="s">
        <v>201</v>
      </c>
      <c r="B47" t="s">
        <v>152</v>
      </c>
      <c r="C47">
        <v>66</v>
      </c>
      <c r="D47">
        <v>88</v>
      </c>
      <c r="E47" s="187">
        <v>12254.8798828125</v>
      </c>
      <c r="F47" s="213">
        <v>3.7499997764825821E-2</v>
      </c>
      <c r="G47" s="189">
        <f t="shared" si="5"/>
        <v>459.55796821367767</v>
      </c>
      <c r="H47" s="190">
        <v>45.18316650390625</v>
      </c>
      <c r="I47" s="191">
        <v>317307.1875</v>
      </c>
      <c r="J47" s="191">
        <v>67948.015625</v>
      </c>
      <c r="K47" s="191">
        <v>293921</v>
      </c>
      <c r="L47" s="191">
        <v>9668163</v>
      </c>
      <c r="M47" s="191">
        <v>10347339</v>
      </c>
      <c r="N47" s="191">
        <f t="shared" si="1"/>
        <v>55.420878019175554</v>
      </c>
      <c r="O47" s="192">
        <f t="shared" si="0"/>
        <v>844.34438353917847</v>
      </c>
      <c r="P47" s="191">
        <v>858.03700000000003</v>
      </c>
      <c r="Q47">
        <v>6.9630000000000001</v>
      </c>
      <c r="R47" s="198">
        <f t="shared" si="2"/>
        <v>1.7599999831699695</v>
      </c>
      <c r="S47" s="188">
        <f t="shared" si="3"/>
        <v>55.420878019175554</v>
      </c>
      <c r="T47" s="215">
        <f t="shared" si="4"/>
        <v>31.436881210506307</v>
      </c>
    </row>
    <row r="48" spans="1:20" x14ac:dyDescent="0.25">
      <c r="A48" t="s">
        <v>202</v>
      </c>
      <c r="B48" t="s">
        <v>158</v>
      </c>
      <c r="C48">
        <v>61.6</v>
      </c>
      <c r="D48">
        <v>67</v>
      </c>
      <c r="E48" s="187">
        <v>100164.1953125</v>
      </c>
      <c r="F48" s="213">
        <v>3.8409091532230377E-2</v>
      </c>
      <c r="G48" s="189">
        <f t="shared" si="5"/>
        <v>3847.2157460100134</v>
      </c>
      <c r="H48" s="190">
        <v>41.957035064697266</v>
      </c>
      <c r="I48" s="191">
        <v>2937988</v>
      </c>
      <c r="J48" s="191">
        <v>607676.25</v>
      </c>
      <c r="K48" s="191">
        <v>3468394.25</v>
      </c>
      <c r="L48" s="191">
        <v>111747152</v>
      </c>
      <c r="M48" s="191">
        <v>118761208</v>
      </c>
      <c r="N48" s="191">
        <f t="shared" si="1"/>
        <v>70.025606237009129</v>
      </c>
      <c r="O48" s="192">
        <f t="shared" si="0"/>
        <v>1185.6652731994661</v>
      </c>
      <c r="P48" s="191">
        <v>1240.635</v>
      </c>
      <c r="Q48">
        <v>33.976999999999997</v>
      </c>
      <c r="R48" s="198">
        <f t="shared" si="2"/>
        <v>2.9479999797657239</v>
      </c>
      <c r="S48" s="188">
        <f t="shared" si="3"/>
        <v>70.025606237009129</v>
      </c>
      <c r="T48" s="215">
        <f t="shared" si="4"/>
        <v>35.398519789810749</v>
      </c>
    </row>
    <row r="49" spans="1:20" x14ac:dyDescent="0.25">
      <c r="A49" t="s">
        <v>203</v>
      </c>
      <c r="B49" t="s">
        <v>162</v>
      </c>
      <c r="C49">
        <v>74.099999999999994</v>
      </c>
      <c r="D49">
        <v>35</v>
      </c>
      <c r="E49" s="187">
        <v>3088.994873046875</v>
      </c>
      <c r="F49" s="213">
        <v>1.0000000707805157E-2</v>
      </c>
      <c r="G49" s="189">
        <f t="shared" si="5"/>
        <v>30.88995091687525</v>
      </c>
      <c r="H49" s="190">
        <v>49.422580718994141</v>
      </c>
      <c r="I49" s="191">
        <v>222924.21875</v>
      </c>
      <c r="J49" s="191">
        <v>49522.22265625</v>
      </c>
      <c r="K49" s="191">
        <v>238019.28125</v>
      </c>
      <c r="L49" s="191">
        <v>2468506.5</v>
      </c>
      <c r="M49" s="191">
        <v>2978972.25</v>
      </c>
      <c r="N49" s="191">
        <f t="shared" si="1"/>
        <v>165.25301712551718</v>
      </c>
      <c r="O49" s="192">
        <f t="shared" si="0"/>
        <v>964.38238729145166</v>
      </c>
      <c r="P49" s="191">
        <v>3133.6370000000002</v>
      </c>
      <c r="Q49">
        <v>88.257000000000005</v>
      </c>
      <c r="R49" s="198">
        <f t="shared" si="2"/>
        <v>3.4999998561551775E-2</v>
      </c>
      <c r="S49" s="188">
        <f t="shared" si="3"/>
        <v>165.25301712551718</v>
      </c>
      <c r="T49" s="215">
        <f t="shared" si="4"/>
        <v>88.199059112558018</v>
      </c>
    </row>
    <row r="50" spans="1:20" x14ac:dyDescent="0.25">
      <c r="A50" t="s">
        <v>204</v>
      </c>
      <c r="B50" t="s">
        <v>158</v>
      </c>
      <c r="C50">
        <v>58.3</v>
      </c>
      <c r="D50">
        <v>48</v>
      </c>
      <c r="E50" s="187">
        <v>26089.775390625</v>
      </c>
      <c r="F50" s="213">
        <v>3.7804879248142242E-2</v>
      </c>
      <c r="G50" s="189">
        <f t="shared" si="5"/>
        <v>986.32080825373123</v>
      </c>
      <c r="H50" s="190">
        <v>37.955173492431641</v>
      </c>
      <c r="I50" s="191">
        <v>966595</v>
      </c>
      <c r="J50" s="191">
        <v>199046.546875</v>
      </c>
      <c r="K50" s="191">
        <v>1101915</v>
      </c>
      <c r="L50" s="191">
        <v>33052754</v>
      </c>
      <c r="M50" s="191">
        <v>35320312</v>
      </c>
      <c r="N50" s="191">
        <f t="shared" si="1"/>
        <v>86.913609370888452</v>
      </c>
      <c r="O50" s="192">
        <f t="shared" si="0"/>
        <v>1353.7990063606246</v>
      </c>
      <c r="P50" s="191">
        <v>1511.7429999999999</v>
      </c>
      <c r="Q50">
        <v>13.257</v>
      </c>
      <c r="R50" s="198">
        <f t="shared" si="2"/>
        <v>1.9679999540337181</v>
      </c>
      <c r="S50" s="188">
        <f t="shared" si="3"/>
        <v>86.913609370888452</v>
      </c>
      <c r="T50" s="215">
        <f t="shared" si="4"/>
        <v>44.678098198340841</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vt:lpstr>
      <vt:lpstr>Entering the Data</vt:lpstr>
      <vt:lpstr>Charts and Tables</vt:lpstr>
      <vt:lpstr>Calculations</vt:lpstr>
      <vt:lpstr>Country Data</vt:lpstr>
    </vt:vector>
  </TitlesOfParts>
  <Company>FHCRC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Vice Calculator 4</dc:title>
  <dc:creator>Chris Troeger</dc:creator>
  <cp:lastModifiedBy>Andrew Finan</cp:lastModifiedBy>
  <cp:lastPrinted>2013-10-23T23:46:55Z</cp:lastPrinted>
  <dcterms:created xsi:type="dcterms:W3CDTF">2013-10-16T16:18:55Z</dcterms:created>
  <dcterms:modified xsi:type="dcterms:W3CDTF">2023-09-05T15:47:32Z</dcterms:modified>
</cp:coreProperties>
</file>